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98" yWindow="557" windowWidth="11574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<sst xmlns="http://schemas.openxmlformats.org/spreadsheetml/2006/main" count="163" uniqueCount="112">
  <si>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</si>
  <si>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</si>
  <si>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</si>
  <si>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</si>
  <si>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</si>
  <si>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</si>
  <si>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</si>
  <si>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</si>
  <si>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</si>
  <si>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</si>
  <si>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</si>
  <si>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</si>
  <si>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</si>
  <si>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</si>
  <si>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</si>
  <si>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</si>
  <si>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</si>
  <si>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</si>
  <si>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</si>
  <si>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</si>
  <si>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</si>
  <si>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</si>
  <si>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</si>
  <si>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</si>
  <si>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</si>
  <si>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</si>
  <si>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</si>
  <si>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</si>
  <si>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</si>
  <si>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</si>
  <si>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</si>
  <si>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</si>
  <si>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</si>
  <si>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</si>
  <si>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</si>
  <si>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</si>
  <si>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</si>
  <si>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</si>
  <si>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</si>
  <si>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</si>
  <si>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</si>
  <si>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</si>
  <si>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</si>
  <si>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</si>
  <si>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</si>
  <si>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</si>
  <si>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</si>
  <si>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</si>
  <si>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</si>
  <si>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</si>
  <si>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</si>
  <si>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</si>
  <si>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</si>
  <si>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</si>
  <si>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</si>
  <si>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</si>
  <si>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</si>
  <si>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</si>
  <si>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</si>
  <si>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</si>
  <si>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</si>
  <si>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</si>
  <si>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</si>
  <si>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</si>
  <si>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</si>
  <si>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</si>
  <si>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</si>
  <si>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</si>
  <si>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</si>
  <si>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</si>
  <si>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</si>
  <si>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</si>
  <si>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</si>
  <si>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</si>
  <si>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</si>
  <si>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</si>
  <si>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</si>
  <si>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</si>
  <si>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</si>
  <si>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</si>
  <si>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</si>
  <si>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</si>
  <si>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</si>
  <si>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</si>
  <si>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</si>
  <si>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</si>
  <si>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</si>
  <si>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</si>
  <si>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</si>
  <si>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</si>
  <si>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</si>
  <si>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</si>
  <si>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</si>
  <si>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</si>
  <si>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</si>
  <si>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</si>
  <si>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</si>
  <si>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</si>
  <si>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</si>
  <si>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</si>
  <si>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</si>
  <si>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</si>
  <si>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</si>
  <si>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</si>
  <si>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</si>
  <si>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</si>
  <si>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</si>
  <si>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План на 10 місяців, тис.грн.</t>
  </si>
  <si>
    <t>Відсоток виконання плану 10 місяців</t>
  </si>
  <si>
    <t>Відхилення від плану 10 місяців, тис.грн.</t>
  </si>
  <si>
    <t>Програма розроблнння стратегічного плану розвитку м. Черкаси</t>
  </si>
  <si>
    <t>Аналіз використання коштів загального фонду міського бюджету станом на 27.10.2017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</si>
</sst>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89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2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3425"/>
          <c:w val="0.856"/>
          <c:h val="0.627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155260.2</c:v>
                </c:pt>
                <c:pt idx="1">
                  <c:v>144079.1</c:v>
                </c:pt>
                <c:pt idx="2">
                  <c:v>2620.6</c:v>
                </c:pt>
                <c:pt idx="3">
                  <c:v>8560.500000000005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108816.10000000003</c:v>
                </c:pt>
                <c:pt idx="1">
                  <c:v>101751.1</c:v>
                </c:pt>
                <c:pt idx="2">
                  <c:v>1545.8000000000002</c:v>
                </c:pt>
                <c:pt idx="3">
                  <c:v>5519.200000000029</c:v>
                </c:pt>
              </c:numCache>
            </c:numRef>
          </c:val>
          <c:shape val="box"/>
        </c:ser>
        <c:shape val="box"/>
        <c:axId val="19547069"/>
        <c:axId val="41705894"/>
      </c:bar3DChart>
      <c:catAx>
        <c:axId val="19547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705894"/>
        <c:crosses val="autoZero"/>
        <c:auto val="1"/>
        <c:lblOffset val="100"/>
        <c:tickLblSkip val="1"/>
        <c:noMultiLvlLbl val="0"/>
      </c:catAx>
      <c:valAx>
        <c:axId val="41705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470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95"/>
          <c:w val="0.28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275"/>
          <c:w val="0.8435"/>
          <c:h val="0.66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649900.8999999999</c:v>
                </c:pt>
                <c:pt idx="1">
                  <c:v>243536.9</c:v>
                </c:pt>
                <c:pt idx="2">
                  <c:v>508871</c:v>
                </c:pt>
                <c:pt idx="3">
                  <c:v>91.3</c:v>
                </c:pt>
                <c:pt idx="4">
                  <c:v>30490.8</c:v>
                </c:pt>
                <c:pt idx="5">
                  <c:v>76720.59999999999</c:v>
                </c:pt>
                <c:pt idx="6">
                  <c:v>13925.7</c:v>
                </c:pt>
                <c:pt idx="7">
                  <c:v>19801.499999999924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477060.6</c:v>
                </c:pt>
                <c:pt idx="1">
                  <c:v>186089.00000000003</c:v>
                </c:pt>
                <c:pt idx="2">
                  <c:v>383684.4999999999</c:v>
                </c:pt>
                <c:pt idx="3">
                  <c:v>48.9</c:v>
                </c:pt>
                <c:pt idx="4">
                  <c:v>24074.699999999997</c:v>
                </c:pt>
                <c:pt idx="5">
                  <c:v>48228.899999999994</c:v>
                </c:pt>
                <c:pt idx="6">
                  <c:v>10468.699999999997</c:v>
                </c:pt>
                <c:pt idx="7">
                  <c:v>10554.90000000011</c:v>
                </c:pt>
              </c:numCache>
            </c:numRef>
          </c:val>
          <c:shape val="box"/>
        </c:ser>
        <c:shape val="box"/>
        <c:axId val="39808727"/>
        <c:axId val="22734224"/>
      </c:bar3DChart>
      <c:catAx>
        <c:axId val="39808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734224"/>
        <c:crosses val="autoZero"/>
        <c:auto val="1"/>
        <c:lblOffset val="100"/>
        <c:tickLblSkip val="1"/>
        <c:noMultiLvlLbl val="0"/>
      </c:catAx>
      <c:valAx>
        <c:axId val="22734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087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475"/>
          <c:w val="0.9295"/>
          <c:h val="0.657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373935.39999999997</c:v>
                </c:pt>
                <c:pt idx="1">
                  <c:v>239505.5</c:v>
                </c:pt>
                <c:pt idx="2">
                  <c:v>373935.39999999997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295351.8000000001</c:v>
                </c:pt>
                <c:pt idx="1">
                  <c:v>198530.2000000001</c:v>
                </c:pt>
                <c:pt idx="2">
                  <c:v>295351.8000000001</c:v>
                </c:pt>
              </c:numCache>
            </c:numRef>
          </c:val>
          <c:shape val="box"/>
        </c:ser>
        <c:shape val="box"/>
        <c:axId val="3281425"/>
        <c:axId val="29532826"/>
      </c:bar3DChart>
      <c:catAx>
        <c:axId val="328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32826"/>
        <c:crosses val="autoZero"/>
        <c:auto val="1"/>
        <c:lblOffset val="100"/>
        <c:tickLblSkip val="1"/>
        <c:noMultiLvlLbl val="0"/>
      </c:catAx>
      <c:valAx>
        <c:axId val="295328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14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8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75"/>
          <c:w val="0.87025"/>
          <c:h val="0.590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64922.4</c:v>
                </c:pt>
                <c:pt idx="1">
                  <c:v>52872.899999999994</c:v>
                </c:pt>
                <c:pt idx="2">
                  <c:v>3079.2000000000003</c:v>
                </c:pt>
                <c:pt idx="3">
                  <c:v>874.1</c:v>
                </c:pt>
                <c:pt idx="4">
                  <c:v>80.8</c:v>
                </c:pt>
                <c:pt idx="5">
                  <c:v>8015.400000000006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47158.49999999997</c:v>
                </c:pt>
                <c:pt idx="1">
                  <c:v>39153</c:v>
                </c:pt>
                <c:pt idx="2">
                  <c:v>1575.6999999999998</c:v>
                </c:pt>
                <c:pt idx="3">
                  <c:v>655.6</c:v>
                </c:pt>
                <c:pt idx="4">
                  <c:v>25.5</c:v>
                </c:pt>
                <c:pt idx="5">
                  <c:v>5748.699999999971</c:v>
                </c:pt>
              </c:numCache>
            </c:numRef>
          </c:val>
          <c:shape val="box"/>
        </c:ser>
        <c:shape val="box"/>
        <c:axId val="64468843"/>
        <c:axId val="43348676"/>
      </c:bar3DChart>
      <c:catAx>
        <c:axId val="6446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348676"/>
        <c:crosses val="autoZero"/>
        <c:auto val="1"/>
        <c:lblOffset val="100"/>
        <c:tickLblSkip val="1"/>
        <c:noMultiLvlLbl val="0"/>
      </c:catAx>
      <c:valAx>
        <c:axId val="433486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688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925"/>
          <c:w val="0.86375"/>
          <c:h val="0.641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24970.6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7316.399999999999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17726.7</c:v>
                </c:pt>
                <c:pt idx="1">
                  <c:v>11123.600000000002</c:v>
                </c:pt>
                <c:pt idx="2">
                  <c:v>1.6</c:v>
                </c:pt>
                <c:pt idx="3">
                  <c:v>540.1999999999998</c:v>
                </c:pt>
                <c:pt idx="4">
                  <c:v>574.5000000000001</c:v>
                </c:pt>
                <c:pt idx="5">
                  <c:v>400</c:v>
                </c:pt>
                <c:pt idx="6">
                  <c:v>5086.799999999998</c:v>
                </c:pt>
              </c:numCache>
            </c:numRef>
          </c:val>
          <c:shape val="box"/>
        </c:ser>
        <c:shape val="box"/>
        <c:axId val="54593765"/>
        <c:axId val="21581838"/>
      </c:bar3DChart>
      <c:catAx>
        <c:axId val="5459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581838"/>
        <c:crosses val="autoZero"/>
        <c:auto val="1"/>
        <c:lblOffset val="100"/>
        <c:tickLblSkip val="2"/>
        <c:noMultiLvlLbl val="0"/>
      </c:catAx>
      <c:valAx>
        <c:axId val="21581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937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42"/>
          <c:w val="0.87775"/>
          <c:h val="0.6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4816.1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807.0999999999999</c:v>
                </c:pt>
                <c:pt idx="5">
                  <c:v>691.7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3471.2000000000003</c:v>
                </c:pt>
                <c:pt idx="1">
                  <c:v>1940.5000000000002</c:v>
                </c:pt>
                <c:pt idx="2">
                  <c:v>337</c:v>
                </c:pt>
                <c:pt idx="3">
                  <c:v>223.2</c:v>
                </c:pt>
                <c:pt idx="4">
                  <c:v>549</c:v>
                </c:pt>
                <c:pt idx="5">
                  <c:v>421.5</c:v>
                </c:pt>
              </c:numCache>
            </c:numRef>
          </c:val>
          <c:shape val="box"/>
        </c:ser>
        <c:shape val="box"/>
        <c:axId val="60018815"/>
        <c:axId val="3298424"/>
      </c:bar3DChart>
      <c:catAx>
        <c:axId val="6001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98424"/>
        <c:crosses val="autoZero"/>
        <c:auto val="1"/>
        <c:lblOffset val="100"/>
        <c:tickLblSkip val="1"/>
        <c:noMultiLvlLbl val="0"/>
      </c:catAx>
      <c:valAx>
        <c:axId val="3298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188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3475"/>
          <c:w val="0.85525"/>
          <c:h val="0.6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58976.4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45658.80000000001</c:v>
                </c:pt>
              </c:numCache>
            </c:numRef>
          </c:val>
          <c:shape val="box"/>
        </c:ser>
        <c:shape val="box"/>
        <c:axId val="29685817"/>
        <c:axId val="65845762"/>
      </c:bar3DChart>
      <c:catAx>
        <c:axId val="29685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845762"/>
        <c:crosses val="autoZero"/>
        <c:auto val="1"/>
        <c:lblOffset val="100"/>
        <c:tickLblSkip val="1"/>
        <c:noMultiLvlLbl val="0"/>
      </c:catAx>
      <c:valAx>
        <c:axId val="65845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858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425"/>
          <c:w val="0.851"/>
          <c:h val="0.58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649900.8999999999</c:v>
                </c:pt>
                <c:pt idx="1">
                  <c:v>373935.39999999997</c:v>
                </c:pt>
                <c:pt idx="2">
                  <c:v>64922.4</c:v>
                </c:pt>
                <c:pt idx="3">
                  <c:v>24970.6</c:v>
                </c:pt>
                <c:pt idx="4">
                  <c:v>4816.1</c:v>
                </c:pt>
                <c:pt idx="5">
                  <c:v>155260.2</c:v>
                </c:pt>
                <c:pt idx="6">
                  <c:v>58976.4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477060.6</c:v>
                </c:pt>
                <c:pt idx="1">
                  <c:v>295351.8000000001</c:v>
                </c:pt>
                <c:pt idx="2">
                  <c:v>47158.49999999997</c:v>
                </c:pt>
                <c:pt idx="3">
                  <c:v>17726.7</c:v>
                </c:pt>
                <c:pt idx="4">
                  <c:v>3471.2000000000003</c:v>
                </c:pt>
                <c:pt idx="5">
                  <c:v>108816.10000000003</c:v>
                </c:pt>
                <c:pt idx="6">
                  <c:v>45658.80000000001</c:v>
                </c:pt>
              </c:numCache>
            </c:numRef>
          </c:val>
          <c:shape val="box"/>
        </c:ser>
        <c:shape val="box"/>
        <c:axId val="55740947"/>
        <c:axId val="31906476"/>
      </c:bar3DChart>
      <c:catAx>
        <c:axId val="55740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06476"/>
        <c:crosses val="autoZero"/>
        <c:auto val="1"/>
        <c:lblOffset val="100"/>
        <c:tickLblSkip val="1"/>
        <c:noMultiLvlLbl val="0"/>
      </c:catAx>
      <c:valAx>
        <c:axId val="319064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409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775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17975"/>
          <c:w val="0.84125"/>
          <c:h val="0.61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735951.9999999999</c:v>
                </c:pt>
                <c:pt idx="1">
                  <c:v>98487.8</c:v>
                </c:pt>
                <c:pt idx="2">
                  <c:v>31719.100000000002</c:v>
                </c:pt>
                <c:pt idx="3">
                  <c:v>24304.6</c:v>
                </c:pt>
                <c:pt idx="4">
                  <c:v>105.7</c:v>
                </c:pt>
                <c:pt idx="5">
                  <c:v>988331.8999999997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547084.7999999998</c:v>
                </c:pt>
                <c:pt idx="1">
                  <c:v>61248.09999999999</c:v>
                </c:pt>
                <c:pt idx="2">
                  <c:v>24995.6</c:v>
                </c:pt>
                <c:pt idx="3">
                  <c:v>17548.799999999996</c:v>
                </c:pt>
                <c:pt idx="4">
                  <c:v>51.3</c:v>
                </c:pt>
                <c:pt idx="5">
                  <c:v>745062.2000000002</c:v>
                </c:pt>
              </c:numCache>
            </c:numRef>
          </c:val>
          <c:shape val="box"/>
        </c:ser>
        <c:shape val="box"/>
        <c:axId val="18722829"/>
        <c:axId val="34287734"/>
      </c:bar3DChart>
      <c:catAx>
        <c:axId val="18722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287734"/>
        <c:crosses val="autoZero"/>
        <c:auto val="1"/>
        <c:lblOffset val="100"/>
        <c:tickLblSkip val="1"/>
        <c:noMultiLvlLbl val="0"/>
      </c:catAx>
      <c:valAx>
        <c:axId val="342877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228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13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37" sqref="D137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30">
      <c r="A1" s="137" t="s">
        <v>111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41" t="s">
        <v>41</v>
      </c>
      <c r="B3" s="138" t="s">
        <v>107</v>
      </c>
      <c r="C3" s="138" t="s">
        <v>90</v>
      </c>
      <c r="D3" s="138" t="s">
        <v>23</v>
      </c>
      <c r="E3" s="138" t="s">
        <v>22</v>
      </c>
      <c r="F3" s="138" t="s">
        <v>108</v>
      </c>
      <c r="G3" s="138" t="s">
        <v>92</v>
      </c>
      <c r="H3" s="138" t="s">
        <v>109</v>
      </c>
      <c r="I3" s="138" t="s">
        <v>91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2" t="s">
        <v>27</v>
      </c>
      <c r="B6" s="45">
        <f>534200.5-438.1</f>
        <v>533762.4</v>
      </c>
      <c r="C6" s="46">
        <f>625865.1-190.4-316.9+47.1+50+198+5366.4+2952+4818.2+150+808.5-0.1-255.7+10077.1+331.6</f>
        <v>649900.8999999999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+93+3179.6+5641.3+44.7+341.3+226.2+71.3+204.4+196.8+17509.3+115+469.9-20+0.2+61+463.6+581.6+153.1+15631+107.2+1003.9+0.4+347.9+724.1+1512.3+733.4+10763.4+10898.3+2491.5+321.4+180.3+1483.5+12111.7+5218+72+150.5+33.2+16.3+1406.1+728.2+1001.9+486.9+259.1+10354.1</f>
        <v>477060.6</v>
      </c>
      <c r="E6" s="3">
        <f>D6/D151*100</f>
        <v>34.1736206284454</v>
      </c>
      <c r="F6" s="3">
        <f>D6/B6*100</f>
        <v>89.37695873669632</v>
      </c>
      <c r="G6" s="3">
        <f aca="true" t="shared" si="0" ref="G6:G43">D6/C6*100</f>
        <v>73.40512992057712</v>
      </c>
      <c r="H6" s="47">
        <f>B6-D6</f>
        <v>56701.80000000005</v>
      </c>
      <c r="I6" s="47">
        <f aca="true" t="shared" si="1" ref="I6:I43">C6-D6</f>
        <v>172840.29999999993</v>
      </c>
    </row>
    <row r="7" spans="1:9" s="37" customFormat="1" ht="18">
      <c r="A7" s="104" t="s">
        <v>82</v>
      </c>
      <c r="B7" s="97">
        <f>205071.3-57.1-19.1</f>
        <v>204995.09999999998</v>
      </c>
      <c r="C7" s="94">
        <f>243287.4+47.1+202.4</f>
        <v>243536.9</v>
      </c>
      <c r="D7" s="105">
        <f>6699.4+11261.7+10.2+8073.8+9792.3+0.1+0.8+7352+6.6+10108.4-0.1+7942.1+9848.6-0.1+7861.7+17351.9+0.1+8976.7+21107.4+3648.1+8478-0.1+422+40.1+569.1+2781.8+7228.1+78.7+0.1+7673+92.1+10319.7+9.3+8020.9+10334.5</f>
        <v>186089.00000000003</v>
      </c>
      <c r="E7" s="95">
        <f>D7/D6*100</f>
        <v>39.007413313947964</v>
      </c>
      <c r="F7" s="95">
        <f>D7/B7*100</f>
        <v>90.77729174990039</v>
      </c>
      <c r="G7" s="95">
        <f>D7/C7*100</f>
        <v>76.41100794171234</v>
      </c>
      <c r="H7" s="105">
        <f>B7-D7</f>
        <v>18906.099999999948</v>
      </c>
      <c r="I7" s="105">
        <f t="shared" si="1"/>
        <v>57447.899999999965</v>
      </c>
    </row>
    <row r="8" spans="1:9" ht="18">
      <c r="A8" s="23" t="s">
        <v>3</v>
      </c>
      <c r="B8" s="42">
        <f>421927.1+985.9</f>
        <v>422913</v>
      </c>
      <c r="C8" s="43">
        <f>487771.7+47.1+4992.2+4503.5+174-122.1+10000+1504.6</f>
        <v>508871</v>
      </c>
      <c r="D8" s="44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+2+15631+10273.9+10783.6+2491.5+11267.5+5218+13.3+10334.5</f>
        <v>383684.4999999999</v>
      </c>
      <c r="E8" s="1">
        <f>D8/D6*100</f>
        <v>80.42678435402125</v>
      </c>
      <c r="F8" s="1">
        <f>D8/B8*100</f>
        <v>90.72421514590468</v>
      </c>
      <c r="G8" s="1">
        <f t="shared" si="0"/>
        <v>75.39916796201786</v>
      </c>
      <c r="H8" s="44">
        <f>B8-D8</f>
        <v>39228.50000000012</v>
      </c>
      <c r="I8" s="44">
        <f t="shared" si="1"/>
        <v>125186.50000000012</v>
      </c>
    </row>
    <row r="9" spans="1:9" ht="18">
      <c r="A9" s="23" t="s">
        <v>2</v>
      </c>
      <c r="B9" s="42">
        <f>90.5-1.2</f>
        <v>89.3</v>
      </c>
      <c r="C9" s="43">
        <f>92.5-1.2</f>
        <v>91.3</v>
      </c>
      <c r="D9" s="44">
        <f>2.5+4.3+3.3+7+0.4+1.3+1.6+1.3+1.5-0.1+0.8+5.1+2.1+0.8+4.5+2.3+3.3+2.6+0.4+0.9+2.1+0.9</f>
        <v>48.9</v>
      </c>
      <c r="E9" s="12">
        <f>D9/D6*100</f>
        <v>0.010250270091472656</v>
      </c>
      <c r="F9" s="119">
        <f>D9/B9*100</f>
        <v>54.75923852183651</v>
      </c>
      <c r="G9" s="1">
        <f t="shared" si="0"/>
        <v>53.559693318729465</v>
      </c>
      <c r="H9" s="44">
        <f aca="true" t="shared" si="2" ref="H9:H43">B9-D9</f>
        <v>40.4</v>
      </c>
      <c r="I9" s="44">
        <f t="shared" si="1"/>
        <v>42.4</v>
      </c>
    </row>
    <row r="10" spans="1:9" ht="18">
      <c r="A10" s="23" t="s">
        <v>1</v>
      </c>
      <c r="B10" s="42">
        <f>24480.4+3029.3</f>
        <v>27509.7</v>
      </c>
      <c r="C10" s="43">
        <f>27822.4-190.4-170.5+3029.3</f>
        <v>30490.8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+151.1+101.8+611.6+12.3+6+654.8+272.9+224.8+91.3+321.4+142.9+830.4+401.6+57.7+74.3+214.2+468.4+80.9+3.6+66.6</f>
        <v>24074.699999999997</v>
      </c>
      <c r="E10" s="1">
        <f>D10/D6*100</f>
        <v>5.046465794911589</v>
      </c>
      <c r="F10" s="1">
        <f aca="true" t="shared" si="3" ref="F10:F41">D10/B10*100</f>
        <v>87.51349523986084</v>
      </c>
      <c r="G10" s="1">
        <f t="shared" si="0"/>
        <v>78.95725923885236</v>
      </c>
      <c r="H10" s="44">
        <f t="shared" si="2"/>
        <v>3435.0000000000036</v>
      </c>
      <c r="I10" s="44">
        <f t="shared" si="1"/>
        <v>6416.100000000002</v>
      </c>
    </row>
    <row r="11" spans="1:9" ht="18">
      <c r="A11" s="23" t="s">
        <v>0</v>
      </c>
      <c r="B11" s="42">
        <f>59098.9-4046.3</f>
        <v>55052.6</v>
      </c>
      <c r="C11" s="43">
        <f>80900.5-133.6-4046.3</f>
        <v>76720.59999999999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+105.4+0.4+78+81.2+311.5+17.7+176.5+7.6+28.7+139+210.7+38.1+3+228.9+67.9+36.5+416.7+45.9</f>
        <v>48228.899999999994</v>
      </c>
      <c r="E11" s="1">
        <f>D11/D6*100</f>
        <v>10.109596139358395</v>
      </c>
      <c r="F11" s="1">
        <f t="shared" si="3"/>
        <v>87.60512673334229</v>
      </c>
      <c r="G11" s="1">
        <f t="shared" si="0"/>
        <v>62.86303808885749</v>
      </c>
      <c r="H11" s="44">
        <f t="shared" si="2"/>
        <v>6823.700000000004</v>
      </c>
      <c r="I11" s="44">
        <f t="shared" si="1"/>
        <v>28491.699999999997</v>
      </c>
    </row>
    <row r="12" spans="1:9" ht="18">
      <c r="A12" s="23" t="s">
        <v>14</v>
      </c>
      <c r="B12" s="42">
        <f>11379.6-29.9-73</f>
        <v>11276.7</v>
      </c>
      <c r="C12" s="43">
        <f>14045.5-16.9-29.9-73</f>
        <v>13925.7</v>
      </c>
      <c r="D12" s="44">
        <f>276.3+3.4+1.2+766.5+1.2+207.2+488.1+284.1+207.8+0.1+1.2+2.8+9+434.7+164.8+490.2+0.8+3.6+1.2+150.2+3.6+534.8+237.6+35.2+0.2+10.9+298.8+1.2+661.3+35.2+0.5+0.1+44.4+1.2+436.4+226+367.5+10+125.1+50.5+1.3+9.1+238.6+544+41.1+1.2+5.4+577.1+113.5+50.5+20.2+5.4+92+306.4+390.8+273.3+1.8+8.7+9.1+16.3+422.6+10+755.4</f>
        <v>10468.699999999997</v>
      </c>
      <c r="E12" s="1">
        <f>D12/D6*100</f>
        <v>2.1944172291738195</v>
      </c>
      <c r="F12" s="1">
        <f t="shared" si="3"/>
        <v>92.834783225589</v>
      </c>
      <c r="G12" s="1">
        <f t="shared" si="0"/>
        <v>75.17539513274016</v>
      </c>
      <c r="H12" s="44">
        <f t="shared" si="2"/>
        <v>808.0000000000036</v>
      </c>
      <c r="I12" s="44">
        <f t="shared" si="1"/>
        <v>3457.0000000000036</v>
      </c>
    </row>
    <row r="13" spans="1:9" ht="18.75" thickBot="1">
      <c r="A13" s="23" t="s">
        <v>28</v>
      </c>
      <c r="B13" s="43">
        <f>B6-B8-B9-B10-B11-B12</f>
        <v>16921.100000000024</v>
      </c>
      <c r="C13" s="43">
        <f>C6-C8-C9-C10-C11-C12</f>
        <v>19801.499999999924</v>
      </c>
      <c r="D13" s="43">
        <f>D6-D8-D9-D10-D11-D12</f>
        <v>10554.90000000011</v>
      </c>
      <c r="E13" s="1">
        <f>D13/D6*100</f>
        <v>2.212486212443474</v>
      </c>
      <c r="F13" s="1">
        <f t="shared" si="3"/>
        <v>62.377150421663465</v>
      </c>
      <c r="G13" s="1">
        <f t="shared" si="0"/>
        <v>53.30353761078782</v>
      </c>
      <c r="H13" s="44">
        <f t="shared" si="2"/>
        <v>6366.199999999913</v>
      </c>
      <c r="I13" s="44">
        <f t="shared" si="1"/>
        <v>9246.599999999813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8.7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8.7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f>324958.4-4078.3-2836-1734.2+106.8</f>
        <v>316416.7</v>
      </c>
      <c r="C18" s="46">
        <f>329127.1+600+14307.6+200+1333.8+15842.2+1513.4+30+10000+981.3</f>
        <v>373935.39999999997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+6.6+7715.4+1781.2+5.1+942+15.4+1291+22.4+4234+9891.5+7.9+736.2+410+0.2+580.2+8916.4+1114.5+75.8+4+4.4+1148.5+553.7+2.8+57.9+1.7+8101.6</f>
        <v>295351.8000000001</v>
      </c>
      <c r="E18" s="3">
        <f>D18/D151*100</f>
        <v>21.157145161701646</v>
      </c>
      <c r="F18" s="3">
        <f>D18/B18*100</f>
        <v>93.34267123069044</v>
      </c>
      <c r="G18" s="3">
        <f t="shared" si="0"/>
        <v>78.98471233266498</v>
      </c>
      <c r="H18" s="47">
        <f>B18-D18</f>
        <v>21064.899999999907</v>
      </c>
      <c r="I18" s="47">
        <f t="shared" si="1"/>
        <v>78583.59999999986</v>
      </c>
    </row>
    <row r="19" spans="1:13" s="37" customFormat="1" ht="18">
      <c r="A19" s="104" t="s">
        <v>83</v>
      </c>
      <c r="B19" s="97">
        <v>199792.8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+6.6+7336+1781.2+606.6+15.4+844.2+4234+4530+7.9+410+8916.4+666.5+4+4.4+553.7+2.8+57.9+1.7+8101.6</f>
        <v>198530.2000000001</v>
      </c>
      <c r="E19" s="95">
        <f>D19/D18*100</f>
        <v>67.21821231494104</v>
      </c>
      <c r="F19" s="95">
        <f t="shared" si="3"/>
        <v>99.3680452949256</v>
      </c>
      <c r="G19" s="95">
        <f t="shared" si="0"/>
        <v>82.89170812361307</v>
      </c>
      <c r="H19" s="105">
        <f t="shared" si="2"/>
        <v>1262.5999999998894</v>
      </c>
      <c r="I19" s="105">
        <f t="shared" si="1"/>
        <v>40975.2999999999</v>
      </c>
      <c r="K19" s="132"/>
      <c r="L19" s="11"/>
      <c r="M19" s="11"/>
    </row>
    <row r="20" spans="1:11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  <c r="K20" s="132"/>
    </row>
    <row r="21" spans="1:11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  <c r="K21" s="132"/>
    </row>
    <row r="22" spans="1:11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  <c r="K22" s="132"/>
    </row>
    <row r="23" spans="1:11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  <c r="K23" s="132"/>
    </row>
    <row r="24" spans="1:11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  <c r="K24" s="132"/>
    </row>
    <row r="25" spans="1:11" ht="18.75" thickBot="1">
      <c r="A25" s="23" t="s">
        <v>28</v>
      </c>
      <c r="B25" s="43">
        <f>B18</f>
        <v>316416.7</v>
      </c>
      <c r="C25" s="43">
        <f>C18</f>
        <v>373935.39999999997</v>
      </c>
      <c r="D25" s="43">
        <f>D18</f>
        <v>295351.8000000001</v>
      </c>
      <c r="E25" s="1">
        <f>D25/D18*100</f>
        <v>100</v>
      </c>
      <c r="F25" s="1">
        <f t="shared" si="3"/>
        <v>93.34267123069044</v>
      </c>
      <c r="G25" s="1">
        <f t="shared" si="0"/>
        <v>78.98471233266498</v>
      </c>
      <c r="H25" s="44">
        <f t="shared" si="2"/>
        <v>21064.899999999907</v>
      </c>
      <c r="I25" s="44">
        <f t="shared" si="1"/>
        <v>78583.59999999986</v>
      </c>
      <c r="K25" s="132"/>
    </row>
    <row r="26" spans="1:11" ht="55.5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  <c r="K26" s="132"/>
    </row>
    <row r="27" spans="1:11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  <c r="K27" s="132"/>
    </row>
    <row r="28" spans="1:11" ht="18.7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  <c r="K28" s="132"/>
    </row>
    <row r="29" spans="1:11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  <c r="K29" s="132"/>
    </row>
    <row r="30" spans="1:11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  <c r="K30" s="132"/>
    </row>
    <row r="31" spans="1:11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  <c r="K31" s="132"/>
    </row>
    <row r="32" spans="1:11" ht="18.7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  <c r="K32" s="132"/>
    </row>
    <row r="33" spans="1:11" ht="18.75" thickBot="1">
      <c r="A33" s="22" t="s">
        <v>17</v>
      </c>
      <c r="B33" s="45">
        <f>53255.6+221</f>
        <v>53476.6</v>
      </c>
      <c r="C33" s="46">
        <f>67303.3-3099.2+301.7+44-104+255.7+122+221-122.1</f>
        <v>64922.4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+2075.5+343+134.2+3+2337.9+138.7+43.6+142.2+95.1+2198.1+39.8+92.2-9.1+0.1+59.9+54.3+0.8</f>
        <v>47158.49999999997</v>
      </c>
      <c r="E33" s="3">
        <f>D33/D151*100</f>
        <v>3.3781383086478773</v>
      </c>
      <c r="F33" s="3">
        <f>D33/B33*100</f>
        <v>88.1852997385772</v>
      </c>
      <c r="G33" s="3">
        <f t="shared" si="0"/>
        <v>72.63825736571657</v>
      </c>
      <c r="H33" s="47">
        <f t="shared" si="2"/>
        <v>6318.100000000028</v>
      </c>
      <c r="I33" s="47">
        <f t="shared" si="1"/>
        <v>17763.90000000003</v>
      </c>
      <c r="K33" s="132"/>
    </row>
    <row r="34" spans="1:11" ht="18">
      <c r="A34" s="23" t="s">
        <v>3</v>
      </c>
      <c r="B34" s="42">
        <f>43957.1+9.2</f>
        <v>43966.299999999996</v>
      </c>
      <c r="C34" s="43">
        <f>55535.9-3105.8+301.7+122.2+18.9</f>
        <v>52872.899999999994</v>
      </c>
      <c r="D34" s="44">
        <f>1743.2+1833.7+1830.2+1935.3+81+1854.2+129.9+1804.7+34.4+1.5+1881.6+1967.7+0.1+1784.4+235.6+2357.6-0.1+6335.8+2919.9+53.7+142.8+686.6+728.3+0.1+8.8+87.6+495.7+1689.4+9.2+4.2+70.1+2075.5+2129.1+113+4.5+2132.8-9.1</f>
        <v>39153</v>
      </c>
      <c r="E34" s="1">
        <f>D34/D33*100</f>
        <v>83.02426921975895</v>
      </c>
      <c r="F34" s="1">
        <f t="shared" si="3"/>
        <v>89.05229687283216</v>
      </c>
      <c r="G34" s="1">
        <f t="shared" si="0"/>
        <v>74.05116798965065</v>
      </c>
      <c r="H34" s="44">
        <f t="shared" si="2"/>
        <v>4813.299999999996</v>
      </c>
      <c r="I34" s="44">
        <f t="shared" si="1"/>
        <v>13719.899999999994</v>
      </c>
      <c r="K34" s="132"/>
    </row>
    <row r="35" spans="1:11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  <c r="K35" s="132"/>
    </row>
    <row r="36" spans="1:11" ht="18">
      <c r="A36" s="23" t="s">
        <v>0</v>
      </c>
      <c r="B36" s="42">
        <f>2131.6+0.3</f>
        <v>2131.9</v>
      </c>
      <c r="C36" s="43">
        <f>2945.3+133.6+0.3</f>
        <v>3079.2000000000003</v>
      </c>
      <c r="D36" s="44">
        <f>5.4+1.2+41.8+16.1+2.9+29.7+160.9+0.8+93.4+46.9+11.2+0.1+15.2+184.7+9.2+183.2+0.9+11.9+0.1+174+0.1+59.2+12.8+2+8.2+325.6+7.6-0.1+53.7+13.4+10.7+7.4+0.6+1.6+1.5+8.1+1.8+9.7+0.1+1+17.2-0.3+3.2+3.8+10.2+6.6+6.3+7.9+2+3.1+1.1</f>
        <v>1575.6999999999998</v>
      </c>
      <c r="E36" s="1">
        <f>D36/D33*100</f>
        <v>3.3412852402006017</v>
      </c>
      <c r="F36" s="1">
        <f t="shared" si="3"/>
        <v>73.91059618180964</v>
      </c>
      <c r="G36" s="1">
        <f t="shared" si="0"/>
        <v>51.172382436996614</v>
      </c>
      <c r="H36" s="44">
        <f t="shared" si="2"/>
        <v>556.2000000000003</v>
      </c>
      <c r="I36" s="44">
        <f t="shared" si="1"/>
        <v>1503.5000000000005</v>
      </c>
      <c r="K36" s="132"/>
    </row>
    <row r="37" spans="1:11" s="37" customFormat="1" ht="18">
      <c r="A37" s="18" t="s">
        <v>7</v>
      </c>
      <c r="B37" s="51">
        <v>683.7</v>
      </c>
      <c r="C37" s="52">
        <f>856.1-104+122</f>
        <v>874.1</v>
      </c>
      <c r="D37" s="53">
        <f>7.4+12.3+6.1+3.3+9.3+3.2+58.1+36.7+24.4+18.9-18.9+0.1+12+83.3+21.3+10.7+4.7+55.2+2.2+22.4+77.9+16.1+3.3+3+43.6+88+51</f>
        <v>655.6</v>
      </c>
      <c r="E37" s="17">
        <f>D37/D33*100</f>
        <v>1.3902053712480262</v>
      </c>
      <c r="F37" s="17">
        <f t="shared" si="3"/>
        <v>95.89001023840865</v>
      </c>
      <c r="G37" s="17">
        <f t="shared" si="0"/>
        <v>75.00286008465851</v>
      </c>
      <c r="H37" s="53">
        <f t="shared" si="2"/>
        <v>28.100000000000023</v>
      </c>
      <c r="I37" s="53">
        <f t="shared" si="1"/>
        <v>218.5</v>
      </c>
      <c r="K37" s="133"/>
    </row>
    <row r="38" spans="1:11" ht="18">
      <c r="A38" s="23" t="s">
        <v>14</v>
      </c>
      <c r="B38" s="42">
        <v>30.6</v>
      </c>
      <c r="C38" s="43">
        <v>80.8</v>
      </c>
      <c r="D38" s="43">
        <f>5.1+5.1+5.1+5.1+5.1</f>
        <v>25.5</v>
      </c>
      <c r="E38" s="1">
        <f>D38/D33*100</f>
        <v>0.05407296669741407</v>
      </c>
      <c r="F38" s="1">
        <f t="shared" si="3"/>
        <v>83.33333333333333</v>
      </c>
      <c r="G38" s="1">
        <f t="shared" si="0"/>
        <v>31.55940594059406</v>
      </c>
      <c r="H38" s="44">
        <f t="shared" si="2"/>
        <v>5.100000000000001</v>
      </c>
      <c r="I38" s="44">
        <f t="shared" si="1"/>
        <v>55.3</v>
      </c>
      <c r="K38" s="132"/>
    </row>
    <row r="39" spans="1:11" ht="18.75" thickBot="1">
      <c r="A39" s="23" t="s">
        <v>28</v>
      </c>
      <c r="B39" s="42">
        <f>B33-B34-B36-B37-B35-B38</f>
        <v>6664.100000000003</v>
      </c>
      <c r="C39" s="42">
        <f>C33-C34-C36-C37-C35-C38</f>
        <v>8015.400000000006</v>
      </c>
      <c r="D39" s="42">
        <f>D33-D34-D36-D37-D35-D38</f>
        <v>5748.699999999971</v>
      </c>
      <c r="E39" s="1">
        <f>D39/D33*100</f>
        <v>12.190167202095008</v>
      </c>
      <c r="F39" s="1">
        <f t="shared" si="3"/>
        <v>86.26371152893816</v>
      </c>
      <c r="G39" s="1">
        <f t="shared" si="0"/>
        <v>71.72068767622285</v>
      </c>
      <c r="H39" s="44">
        <f>B39-D39</f>
        <v>915.4000000000324</v>
      </c>
      <c r="I39" s="44">
        <f t="shared" si="1"/>
        <v>2266.7000000000353</v>
      </c>
      <c r="K39" s="132"/>
    </row>
    <row r="40" spans="1:11" ht="18.7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  <c r="K40" s="132"/>
    </row>
    <row r="41" spans="1:11" ht="18.7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  <c r="K41" s="132"/>
    </row>
    <row r="42" spans="1:11" ht="18.7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  <c r="K42" s="132"/>
    </row>
    <row r="43" spans="1:11" ht="18.75" thickBot="1">
      <c r="A43" s="13" t="s">
        <v>16</v>
      </c>
      <c r="B43" s="98">
        <v>2107.4</v>
      </c>
      <c r="C43" s="46">
        <f>1548.6+6.6+21.9+503.3+153.3+3.3</f>
        <v>2237.0000000000005</v>
      </c>
      <c r="D43" s="47">
        <f>29.1+22+50.2+8.1+0.6+111.5+89.2+3+14.7+7.1+8.4+11.5+17.6+100.3+27.2+6.2-0.1+30.1+12.7+5+6.1+5+7.2+55.8+7.4+109.8-0.1+35+11.8+22.6+27.4+6.5+3.2+63.8+35.8+6.6+2.7+4+0.2+6.5+6.9+61+27.1-0.1+3.2+4.7+2.4+51.9+11+53.3-0.1+65.1+0.4+11+9.8+53+2.5+1.3+0.2+1.5</f>
        <v>1337.8000000000002</v>
      </c>
      <c r="E43" s="3">
        <f>D43/D151*100</f>
        <v>0.09583157711354547</v>
      </c>
      <c r="F43" s="3">
        <f>D43/B43*100</f>
        <v>63.48106671728196</v>
      </c>
      <c r="G43" s="3">
        <f t="shared" si="0"/>
        <v>59.8033080017881</v>
      </c>
      <c r="H43" s="47">
        <f t="shared" si="2"/>
        <v>769.5999999999999</v>
      </c>
      <c r="I43" s="47">
        <f t="shared" si="1"/>
        <v>899.2000000000003</v>
      </c>
      <c r="K43" s="132"/>
    </row>
    <row r="44" spans="1:11" ht="12" customHeight="1" thickBot="1">
      <c r="A44" s="25"/>
      <c r="B44" s="55"/>
      <c r="C44" s="56"/>
      <c r="D44" s="57"/>
      <c r="E44" s="7"/>
      <c r="F44" s="7"/>
      <c r="G44" s="7"/>
      <c r="H44" s="57"/>
      <c r="I44" s="57"/>
      <c r="K44" s="132"/>
    </row>
    <row r="45" spans="1:11" ht="18.75" thickBot="1">
      <c r="A45" s="22" t="s">
        <v>45</v>
      </c>
      <c r="B45" s="45">
        <v>9741.2</v>
      </c>
      <c r="C45" s="46">
        <v>11788</v>
      </c>
      <c r="D45" s="47">
        <f>102.9+155.5+3.1+3.7+452.3+6+17.2+314.1+59.3+95.2+2.2+579+1.9+71.6+375.2+7+7.3+568.3+0.1+96.1+326.4+4.1+518.1-0.1+350+35.2+5.1+556.7+19.5+326.2+24.6+1+691.6+365.3+4.1+585.4+328.4+3.5+1.9+509.6-0.1+18.5+0.1+311.5+518.9+25.3+320.2+4.8+8.1</f>
        <v>8781.9</v>
      </c>
      <c r="E45" s="3">
        <f>D45/D151*100</f>
        <v>0.6290800770320263</v>
      </c>
      <c r="F45" s="3">
        <f>D45/B45*100</f>
        <v>90.15213731367797</v>
      </c>
      <c r="G45" s="3">
        <f aca="true" t="shared" si="4" ref="G45:G76">D45/C45*100</f>
        <v>74.49864268747879</v>
      </c>
      <c r="H45" s="47">
        <f>B45-D45</f>
        <v>959.3000000000011</v>
      </c>
      <c r="I45" s="47">
        <f aca="true" t="shared" si="5" ref="I45:I77">C45-D45</f>
        <v>3006.1000000000004</v>
      </c>
      <c r="K45" s="132"/>
    </row>
    <row r="46" spans="1:11" ht="18">
      <c r="A46" s="23" t="s">
        <v>3</v>
      </c>
      <c r="B46" s="42">
        <v>8838.7</v>
      </c>
      <c r="C46" s="43">
        <v>10529.7</v>
      </c>
      <c r="D46" s="44">
        <f>102.7+154.9+447.3+314.1+572.1+284.8+559+325.4+510.8+301.6+29.6+556.7+0.1+311.9+684.4+334.8+585.4+305.3+503.4-0.1+18+293.3+510.8+310.5+0.1</f>
        <v>8016.9</v>
      </c>
      <c r="E46" s="1">
        <f>D46/D45*100</f>
        <v>91.28890103508353</v>
      </c>
      <c r="F46" s="1">
        <f aca="true" t="shared" si="6" ref="F46:F74">D46/B46*100</f>
        <v>90.70225259370721</v>
      </c>
      <c r="G46" s="1">
        <f t="shared" si="4"/>
        <v>76.13607225277073</v>
      </c>
      <c r="H46" s="44">
        <f aca="true" t="shared" si="7" ref="H46:H74">B46-D46</f>
        <v>821.8000000000011</v>
      </c>
      <c r="I46" s="44">
        <f t="shared" si="5"/>
        <v>2512.800000000001</v>
      </c>
      <c r="K46" s="132"/>
    </row>
    <row r="47" spans="1:11" ht="18">
      <c r="A47" s="23" t="s">
        <v>2</v>
      </c>
      <c r="B47" s="42">
        <v>1.1</v>
      </c>
      <c r="C47" s="43">
        <v>1.4</v>
      </c>
      <c r="D47" s="44">
        <f>0.4+0.4</f>
        <v>0.8</v>
      </c>
      <c r="E47" s="1">
        <f>D47/D45*100</f>
        <v>0.009109645976383245</v>
      </c>
      <c r="F47" s="1">
        <f t="shared" si="6"/>
        <v>72.72727272727273</v>
      </c>
      <c r="G47" s="1">
        <f t="shared" si="4"/>
        <v>57.14285714285715</v>
      </c>
      <c r="H47" s="44">
        <f t="shared" si="7"/>
        <v>0.30000000000000004</v>
      </c>
      <c r="I47" s="44">
        <f t="shared" si="5"/>
        <v>0.5999999999999999</v>
      </c>
      <c r="K47" s="132"/>
    </row>
    <row r="48" spans="1:11" ht="18">
      <c r="A48" s="23" t="s">
        <v>1</v>
      </c>
      <c r="B48" s="42">
        <v>56.4</v>
      </c>
      <c r="C48" s="43">
        <f>73.4+0.9+0.1</f>
        <v>74.4</v>
      </c>
      <c r="D48" s="44">
        <f>5.4+5.6+7.3+6+2.1+4.3+6.6+2.2+4.2</f>
        <v>43.70000000000001</v>
      </c>
      <c r="E48" s="1">
        <f>D48/D45*100</f>
        <v>0.49761441145993474</v>
      </c>
      <c r="F48" s="1">
        <f t="shared" si="6"/>
        <v>77.48226950354612</v>
      </c>
      <c r="G48" s="1">
        <f t="shared" si="4"/>
        <v>58.73655913978495</v>
      </c>
      <c r="H48" s="44">
        <f t="shared" si="7"/>
        <v>12.699999999999989</v>
      </c>
      <c r="I48" s="44">
        <f t="shared" si="5"/>
        <v>30.699999999999996</v>
      </c>
      <c r="K48" s="132"/>
    </row>
    <row r="49" spans="1:11" ht="18">
      <c r="A49" s="23" t="s">
        <v>0</v>
      </c>
      <c r="B49" s="42">
        <v>579.4</v>
      </c>
      <c r="C49" s="43">
        <v>865.1</v>
      </c>
      <c r="D49" s="44">
        <f>3.1+3.5+1+0.7+59.3+95.2+2.2+6-0.1+53.5+89.7+6.2+7.2+73.9+0.4+4+3.2+30.6+0.2+2.7+3.1+5.4+3.6+1.3+5+0.5+0.4+4.8+0.7+0.5+6.7</f>
        <v>474.49999999999994</v>
      </c>
      <c r="E49" s="1">
        <f>D49/D45*100</f>
        <v>5.40315876974231</v>
      </c>
      <c r="F49" s="1">
        <f t="shared" si="6"/>
        <v>81.89506385916465</v>
      </c>
      <c r="G49" s="1">
        <f t="shared" si="4"/>
        <v>54.84915038723847</v>
      </c>
      <c r="H49" s="44">
        <f t="shared" si="7"/>
        <v>104.90000000000003</v>
      </c>
      <c r="I49" s="44">
        <f t="shared" si="5"/>
        <v>390.6000000000001</v>
      </c>
      <c r="K49" s="132"/>
    </row>
    <row r="50" spans="1:11" ht="18.75" thickBot="1">
      <c r="A50" s="23" t="s">
        <v>28</v>
      </c>
      <c r="B50" s="43">
        <f>B45-B46-B49-B48-B47</f>
        <v>265.6</v>
      </c>
      <c r="C50" s="43">
        <f>C45-C46-C49-C48-C47</f>
        <v>317.3999999999993</v>
      </c>
      <c r="D50" s="43">
        <f>D45-D46-D49-D48-D47</f>
        <v>246.00000000000003</v>
      </c>
      <c r="E50" s="1">
        <f>D50/D45*100</f>
        <v>2.8012161377378475</v>
      </c>
      <c r="F50" s="1">
        <f t="shared" si="6"/>
        <v>92.62048192771086</v>
      </c>
      <c r="G50" s="1">
        <f t="shared" si="4"/>
        <v>77.50472589792079</v>
      </c>
      <c r="H50" s="44">
        <f t="shared" si="7"/>
        <v>19.599999999999994</v>
      </c>
      <c r="I50" s="44">
        <f t="shared" si="5"/>
        <v>71.39999999999927</v>
      </c>
      <c r="K50" s="132"/>
    </row>
    <row r="51" spans="1:11" ht="18.75" thickBot="1">
      <c r="A51" s="22" t="s">
        <v>4</v>
      </c>
      <c r="B51" s="45">
        <f>19553.6+1058.7</f>
        <v>20612.3</v>
      </c>
      <c r="C51" s="46">
        <f>23558.7+50+2250-940.4-1250+76.8+148+18.8+1058.7</f>
        <v>24970.6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+41.6+479+67.6+82.8+324.3+769.9+9+126.6+499.4+127.5+67.9-0.1+5.3+29.4+1.1+359.6</f>
        <v>17726.7</v>
      </c>
      <c r="E51" s="3">
        <f>D51/D151*100</f>
        <v>1.269829285407898</v>
      </c>
      <c r="F51" s="3">
        <f>D51/B51*100</f>
        <v>86.00059187960586</v>
      </c>
      <c r="G51" s="3">
        <f t="shared" si="4"/>
        <v>70.99028457465981</v>
      </c>
      <c r="H51" s="47">
        <f>B51-D51</f>
        <v>2885.5999999999985</v>
      </c>
      <c r="I51" s="47">
        <f t="shared" si="5"/>
        <v>7243.899999999998</v>
      </c>
      <c r="K51" s="132"/>
    </row>
    <row r="52" spans="1:11" ht="18">
      <c r="A52" s="23" t="s">
        <v>3</v>
      </c>
      <c r="B52" s="42">
        <v>12279.5</v>
      </c>
      <c r="C52" s="43">
        <f>16189.8-940.4</f>
        <v>15249.4</v>
      </c>
      <c r="D52" s="44">
        <f>392.4+738.8+389.6+752.9+403.1+730.4+397.8+724.9+1.1+0.1+403+795.7+527.1+1240.6+386.5+33.7+705.7+0.1+5.8+226.6+536.1+14.2+2.1+376.1+1.7+154.2+769.9+9+398.1-0.1+5.3+1.1</f>
        <v>11123.600000000002</v>
      </c>
      <c r="E52" s="1">
        <f>D52/D51*100</f>
        <v>62.750540145656</v>
      </c>
      <c r="F52" s="1">
        <f t="shared" si="6"/>
        <v>90.58675027484834</v>
      </c>
      <c r="G52" s="1">
        <f t="shared" si="4"/>
        <v>72.94450929216889</v>
      </c>
      <c r="H52" s="44">
        <f t="shared" si="7"/>
        <v>1155.8999999999978</v>
      </c>
      <c r="I52" s="44">
        <f t="shared" si="5"/>
        <v>4125.799999999997</v>
      </c>
      <c r="K52" s="132"/>
    </row>
    <row r="53" spans="1:11" ht="18">
      <c r="A53" s="23" t="s">
        <v>2</v>
      </c>
      <c r="B53" s="42">
        <v>6.5</v>
      </c>
      <c r="C53" s="43">
        <v>13</v>
      </c>
      <c r="D53" s="44">
        <v>1.6</v>
      </c>
      <c r="E53" s="1">
        <f>D53/D51*100</f>
        <v>0.009025932632695313</v>
      </c>
      <c r="F53" s="1">
        <f>D53/B53*100</f>
        <v>24.615384615384617</v>
      </c>
      <c r="G53" s="1">
        <f t="shared" si="4"/>
        <v>12.307692307692308</v>
      </c>
      <c r="H53" s="44">
        <f t="shared" si="7"/>
        <v>4.9</v>
      </c>
      <c r="I53" s="44">
        <f t="shared" si="5"/>
        <v>11.4</v>
      </c>
      <c r="K53" s="132"/>
    </row>
    <row r="54" spans="1:11" ht="18">
      <c r="A54" s="23" t="s">
        <v>1</v>
      </c>
      <c r="B54" s="42">
        <v>676.1</v>
      </c>
      <c r="C54" s="43">
        <v>810.2</v>
      </c>
      <c r="D54" s="44">
        <f>1.9+1.9+0.5+7.4+2.1+1.2+12.9+5.1+0.1+4.5+16.8+19.2+9.7+3.1+1.1+1.4+2.5+5.7+19.9+0.8+28.2+4+19.8+8.2+38.7+4.3+0.2+18.2+4.3+27.9+3.9+3+21+4+9.4+2.4+4.7+1.2+8.1+6.9+10.9+0.1+38.9+5.3+2.8+0.1+3+2.2+20.1+27.7+3.6+38.3+19.9+5.8+2.6+7.8+14.9</f>
        <v>540.1999999999998</v>
      </c>
      <c r="E54" s="1">
        <f>D54/D51*100</f>
        <v>3.047380505113754</v>
      </c>
      <c r="F54" s="1">
        <f t="shared" si="6"/>
        <v>79.89942316225408</v>
      </c>
      <c r="G54" s="1">
        <f t="shared" si="4"/>
        <v>66.67489508763266</v>
      </c>
      <c r="H54" s="44">
        <f t="shared" si="7"/>
        <v>135.9000000000002</v>
      </c>
      <c r="I54" s="44">
        <f t="shared" si="5"/>
        <v>270.0000000000002</v>
      </c>
      <c r="K54" s="132"/>
    </row>
    <row r="55" spans="1:11" ht="18">
      <c r="A55" s="23" t="s">
        <v>0</v>
      </c>
      <c r="B55" s="42">
        <v>679.3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0.5+0.6+7.5+73.9+2.1+51.2+20.8+16.3+5.9+0.4+16.8+14.9+10.4+71.4+0.3+1.2+1.4+16+1.2+0.1+25+43+3.8+1.3+4.1+73.9-0.2+14.3+2.8+3+2.4+0.3+0.4+1.3+1.5+2+0.6+0.5+3+1.3+1.4+2+1.4+0.2+0.3+0.2+0.6+0.1-0.1+0.5+38.9+0.3+0.6+11.4+1.9+2.3+0.2+2+13.1</f>
        <v>574.5000000000001</v>
      </c>
      <c r="E55" s="1">
        <f>D55/D51*100</f>
        <v>3.240873935927161</v>
      </c>
      <c r="F55" s="1">
        <f t="shared" si="6"/>
        <v>84.57235389371414</v>
      </c>
      <c r="G55" s="1">
        <f t="shared" si="4"/>
        <v>54.060412157711504</v>
      </c>
      <c r="H55" s="44">
        <f t="shared" si="7"/>
        <v>104.79999999999984</v>
      </c>
      <c r="I55" s="44">
        <f t="shared" si="5"/>
        <v>488.19999999999993</v>
      </c>
      <c r="K55" s="132"/>
    </row>
    <row r="56" spans="1:11" ht="18">
      <c r="A56" s="23" t="s">
        <v>14</v>
      </c>
      <c r="B56" s="42">
        <v>420.1</v>
      </c>
      <c r="C56" s="43">
        <v>518.9</v>
      </c>
      <c r="D56" s="43">
        <f>34+46+40+40+40+40+40+40+38+2+40</f>
        <v>400</v>
      </c>
      <c r="E56" s="1">
        <f>D56/D51*100</f>
        <v>2.256483158173828</v>
      </c>
      <c r="F56" s="1">
        <f>D56/B56*100</f>
        <v>95.2154248988336</v>
      </c>
      <c r="G56" s="1">
        <f>D56/C56*100</f>
        <v>77.08614376565812</v>
      </c>
      <c r="H56" s="44">
        <f t="shared" si="7"/>
        <v>20.100000000000023</v>
      </c>
      <c r="I56" s="44">
        <f t="shared" si="5"/>
        <v>118.89999999999998</v>
      </c>
      <c r="K56" s="132"/>
    </row>
    <row r="57" spans="1:11" ht="18.75" thickBot="1">
      <c r="A57" s="23" t="s">
        <v>28</v>
      </c>
      <c r="B57" s="43">
        <f>B51-B52-B55-B54-B53-B56</f>
        <v>6550.799999999998</v>
      </c>
      <c r="C57" s="43">
        <f>C51-C52-C55-C54-C53-C56</f>
        <v>7316.399999999999</v>
      </c>
      <c r="D57" s="43">
        <f>D51-D52-D55-D54-D53-D56</f>
        <v>5086.799999999998</v>
      </c>
      <c r="E57" s="1">
        <f>D57/D51*100</f>
        <v>28.695696322496563</v>
      </c>
      <c r="F57" s="1">
        <f t="shared" si="6"/>
        <v>77.65158453929291</v>
      </c>
      <c r="G57" s="1">
        <f t="shared" si="4"/>
        <v>69.52599639166802</v>
      </c>
      <c r="H57" s="44">
        <f>B57-D57</f>
        <v>1464</v>
      </c>
      <c r="I57" s="44">
        <f>C57-D57</f>
        <v>2229.6000000000004</v>
      </c>
      <c r="K57" s="132"/>
    </row>
    <row r="58" spans="1:11" s="37" customFormat="1" ht="18.7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  <c r="K58" s="133"/>
    </row>
    <row r="59" spans="1:11" ht="18.75" thickBot="1">
      <c r="A59" s="22" t="s">
        <v>6</v>
      </c>
      <c r="B59" s="45">
        <f>3513.3+500</f>
        <v>4013.3</v>
      </c>
      <c r="C59" s="46">
        <f>7844.6+200-378.5+50-3400+500</f>
        <v>4816.1</v>
      </c>
      <c r="D59" s="47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+31.3+137.8+5+19.5+67.5+70.7+3+75.8+6+459.9</f>
        <v>3471.2000000000003</v>
      </c>
      <c r="E59" s="3">
        <f>D59/D151*100</f>
        <v>0.2486549338290768</v>
      </c>
      <c r="F59" s="3">
        <f>D59/B59*100</f>
        <v>86.49241272768047</v>
      </c>
      <c r="G59" s="3">
        <f t="shared" si="4"/>
        <v>72.07491538796951</v>
      </c>
      <c r="H59" s="47">
        <f>B59-D59</f>
        <v>542.0999999999999</v>
      </c>
      <c r="I59" s="47">
        <f t="shared" si="5"/>
        <v>1344.9</v>
      </c>
      <c r="K59" s="132"/>
    </row>
    <row r="60" spans="1:11" ht="18">
      <c r="A60" s="23" t="s">
        <v>3</v>
      </c>
      <c r="B60" s="42">
        <v>2140.1</v>
      </c>
      <c r="C60" s="43">
        <f>2900.3-339.6</f>
        <v>2560.7000000000003</v>
      </c>
      <c r="D60" s="44">
        <f>55.6+146.1+60.8+59.3+73.6+0.1+67.3+144.6-4.5+79.7+66.8+72.2-0.1+53+75.7+69.4+0.1+39.1+101.5+64.4+45.9+60.8+119.4+37.7+47.7+65.9+60.6-0.1+31.3+40.6+67.5+63.7+74.8</f>
        <v>1940.5000000000002</v>
      </c>
      <c r="E60" s="1">
        <f>D60/D59*100</f>
        <v>55.902857801336715</v>
      </c>
      <c r="F60" s="1">
        <f t="shared" si="6"/>
        <v>90.67333302182142</v>
      </c>
      <c r="G60" s="1">
        <f t="shared" si="4"/>
        <v>75.78006013980553</v>
      </c>
      <c r="H60" s="44">
        <f t="shared" si="7"/>
        <v>199.59999999999968</v>
      </c>
      <c r="I60" s="44">
        <f t="shared" si="5"/>
        <v>620.2</v>
      </c>
      <c r="K60" s="132"/>
    </row>
    <row r="61" spans="1:11" ht="18">
      <c r="A61" s="23" t="s">
        <v>1</v>
      </c>
      <c r="B61" s="42">
        <v>343.7</v>
      </c>
      <c r="C61" s="43">
        <f>337.1+6.6</f>
        <v>343.70000000000005</v>
      </c>
      <c r="D61" s="44">
        <f>3.2+187.7+74.6+71.5</f>
        <v>337</v>
      </c>
      <c r="E61" s="1">
        <f>D61/D59*100</f>
        <v>9.708458170085272</v>
      </c>
      <c r="F61" s="1">
        <f>D61/B61*100</f>
        <v>98.0506255455339</v>
      </c>
      <c r="G61" s="1">
        <f t="shared" si="4"/>
        <v>98.05062554553389</v>
      </c>
      <c r="H61" s="44">
        <f t="shared" si="7"/>
        <v>6.699999999999989</v>
      </c>
      <c r="I61" s="44">
        <f t="shared" si="5"/>
        <v>6.7000000000000455</v>
      </c>
      <c r="K61" s="132"/>
    </row>
    <row r="62" spans="1:11" ht="18">
      <c r="A62" s="23" t="s">
        <v>0</v>
      </c>
      <c r="B62" s="42">
        <v>264.4</v>
      </c>
      <c r="C62" s="43">
        <f>451.8-38.9</f>
        <v>412.90000000000003</v>
      </c>
      <c r="D62" s="44">
        <f>0.4+18.6+55.1+0.5+32.9+0.7+67.5+3.7+0.4+6.3+12.6+0.1+4.2+0.1+1.9+0.5+3.8+1+0.1+0.1+2.5-0.1+0.6+0.1+3.3+0.4+5.9</f>
        <v>223.2</v>
      </c>
      <c r="E62" s="1">
        <f>D62/D59*100</f>
        <v>6.430053007605438</v>
      </c>
      <c r="F62" s="1">
        <f t="shared" si="6"/>
        <v>84.41754916792739</v>
      </c>
      <c r="G62" s="1">
        <f t="shared" si="4"/>
        <v>54.05667231775247</v>
      </c>
      <c r="H62" s="44">
        <f t="shared" si="7"/>
        <v>41.19999999999999</v>
      </c>
      <c r="I62" s="44">
        <f t="shared" si="5"/>
        <v>189.70000000000005</v>
      </c>
      <c r="K62" s="132"/>
    </row>
    <row r="63" spans="1:11" ht="18">
      <c r="A63" s="23" t="s">
        <v>14</v>
      </c>
      <c r="B63" s="42">
        <f>307.1+500</f>
        <v>807.1</v>
      </c>
      <c r="C63" s="43">
        <f>3707.1-3400+500</f>
        <v>807.0999999999999</v>
      </c>
      <c r="D63" s="44">
        <f>89.8+459.2</f>
        <v>549</v>
      </c>
      <c r="E63" s="1">
        <f>D63/D59*100</f>
        <v>15.815856188061764</v>
      </c>
      <c r="F63" s="1">
        <f t="shared" si="6"/>
        <v>68.02131086606367</v>
      </c>
      <c r="G63" s="1">
        <f t="shared" si="4"/>
        <v>68.02131086606369</v>
      </c>
      <c r="H63" s="44">
        <f t="shared" si="7"/>
        <v>258.1</v>
      </c>
      <c r="I63" s="44">
        <f t="shared" si="5"/>
        <v>258.0999999999999</v>
      </c>
      <c r="K63" s="132"/>
    </row>
    <row r="64" spans="1:11" ht="18.75" thickBot="1">
      <c r="A64" s="23" t="s">
        <v>28</v>
      </c>
      <c r="B64" s="43">
        <f>B59-B60-B62-B63-B61</f>
        <v>458.00000000000017</v>
      </c>
      <c r="C64" s="43">
        <f>C59-C60-C62-C63-C61</f>
        <v>691.7</v>
      </c>
      <c r="D64" s="43">
        <f>D59-D60-D62-D63-D61</f>
        <v>421.5</v>
      </c>
      <c r="E64" s="1">
        <f>D64/D59*100</f>
        <v>12.142774832910808</v>
      </c>
      <c r="F64" s="1">
        <f t="shared" si="6"/>
        <v>92.03056768558949</v>
      </c>
      <c r="G64" s="1">
        <f t="shared" si="4"/>
        <v>60.93682232181581</v>
      </c>
      <c r="H64" s="44">
        <f t="shared" si="7"/>
        <v>36.50000000000017</v>
      </c>
      <c r="I64" s="44">
        <f t="shared" si="5"/>
        <v>270.20000000000005</v>
      </c>
      <c r="K64" s="132"/>
    </row>
    <row r="65" spans="1:11" s="37" customFormat="1" ht="18.7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  <c r="K65" s="133"/>
    </row>
    <row r="66" spans="1:11" s="37" customFormat="1" ht="18.7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  <c r="K66" s="133"/>
    </row>
    <row r="67" spans="1:11" s="37" customFormat="1" ht="18.7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  <c r="K67" s="133"/>
    </row>
    <row r="68" spans="1:11" s="37" customFormat="1" ht="18.7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  <c r="K68" s="133"/>
    </row>
    <row r="69" spans="1:11" ht="18.75" thickBot="1">
      <c r="A69" s="22" t="s">
        <v>20</v>
      </c>
      <c r="B69" s="46">
        <f>B70+B71</f>
        <v>377</v>
      </c>
      <c r="C69" s="46">
        <f>C70+C71</f>
        <v>390.3</v>
      </c>
      <c r="D69" s="47">
        <f>SUM(D70:D71)</f>
        <v>242.39999999999998</v>
      </c>
      <c r="E69" s="35">
        <f>D69/D151*100</f>
        <v>0.017364011281449702</v>
      </c>
      <c r="F69" s="3">
        <f>D69/B69*100</f>
        <v>64.29708222811671</v>
      </c>
      <c r="G69" s="3">
        <f t="shared" si="4"/>
        <v>62.106072252113755</v>
      </c>
      <c r="H69" s="47">
        <f>B69-D69</f>
        <v>134.60000000000002</v>
      </c>
      <c r="I69" s="47">
        <f t="shared" si="5"/>
        <v>147.90000000000003</v>
      </c>
      <c r="K69" s="132"/>
    </row>
    <row r="70" spans="1:11" ht="18">
      <c r="A70" s="23" t="s">
        <v>8</v>
      </c>
      <c r="B70" s="42">
        <v>287</v>
      </c>
      <c r="C70" s="43">
        <f>289-2</f>
        <v>287</v>
      </c>
      <c r="D70" s="44">
        <f>19.2+1.5+170.6+1.2+17.7+0.1+11+3+9.5-0.1+2.3-0.1</f>
        <v>235.89999999999998</v>
      </c>
      <c r="E70" s="1">
        <f>D70/D69*100</f>
        <v>97.31848184818482</v>
      </c>
      <c r="F70" s="1">
        <f t="shared" si="6"/>
        <v>82.1951219512195</v>
      </c>
      <c r="G70" s="1">
        <f t="shared" si="4"/>
        <v>82.1951219512195</v>
      </c>
      <c r="H70" s="44">
        <f t="shared" si="7"/>
        <v>51.10000000000002</v>
      </c>
      <c r="I70" s="44">
        <f t="shared" si="5"/>
        <v>51.10000000000002</v>
      </c>
      <c r="K70" s="132"/>
    </row>
    <row r="71" spans="1:11" ht="18.75" thickBot="1">
      <c r="A71" s="23" t="s">
        <v>9</v>
      </c>
      <c r="B71" s="42">
        <f>97.2-7.2</f>
        <v>90</v>
      </c>
      <c r="C71" s="43">
        <f>267.3-68.6-27.9+0.7-15-6.9-19.6-19.5-7.2</f>
        <v>103.3</v>
      </c>
      <c r="D71" s="44">
        <f>6.5</f>
        <v>6.5</v>
      </c>
      <c r="E71" s="1">
        <f>D71/D70*100</f>
        <v>2.7554048325561684</v>
      </c>
      <c r="F71" s="1">
        <f t="shared" si="6"/>
        <v>7.222222222222221</v>
      </c>
      <c r="G71" s="1">
        <f t="shared" si="4"/>
        <v>6.292352371732818</v>
      </c>
      <c r="H71" s="44">
        <f t="shared" si="7"/>
        <v>83.5</v>
      </c>
      <c r="I71" s="44">
        <f t="shared" si="5"/>
        <v>96.8</v>
      </c>
      <c r="K71" s="132"/>
    </row>
    <row r="72" spans="1:11" ht="36.7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  <c r="K72" s="132"/>
    </row>
    <row r="73" spans="1:11" ht="18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  <c r="K73" s="132"/>
    </row>
    <row r="74" spans="1:11" ht="18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  <c r="K74" s="132"/>
    </row>
    <row r="75" spans="1:11" ht="18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  <c r="K75" s="132"/>
    </row>
    <row r="76" spans="1:11" ht="18.7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  <c r="K76" s="132"/>
    </row>
    <row r="77" spans="1:11" s="37" customFormat="1" ht="18.75" thickBot="1">
      <c r="A77" s="25" t="s">
        <v>13</v>
      </c>
      <c r="B77" s="55">
        <v>912.9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</v>
      </c>
      <c r="I77" s="63">
        <f t="shared" si="5"/>
        <v>912.9000000000001</v>
      </c>
      <c r="K77" s="133"/>
    </row>
    <row r="78" spans="1:11" ht="8.25" customHeight="1" thickBot="1">
      <c r="A78" s="18"/>
      <c r="B78" s="51"/>
      <c r="C78" s="60"/>
      <c r="D78" s="61"/>
      <c r="E78" s="6"/>
      <c r="F78" s="6"/>
      <c r="G78" s="6"/>
      <c r="H78" s="61"/>
      <c r="I78" s="120"/>
      <c r="K78" s="132"/>
    </row>
    <row r="79" spans="1:11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  <c r="K79" s="132"/>
    </row>
    <row r="80" spans="1:11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  <c r="K80" s="134"/>
    </row>
    <row r="81" spans="1:11" s="8" customFormat="1" ht="33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  <c r="K81" s="134"/>
    </row>
    <row r="82" spans="1:11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  <c r="K82" s="134"/>
    </row>
    <row r="83" spans="1:11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  <c r="K83" s="134"/>
    </row>
    <row r="84" spans="1:11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  <c r="K84" s="132"/>
    </row>
    <row r="85" spans="1:11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  <c r="K85" s="132"/>
    </row>
    <row r="86" spans="1:11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  <c r="K86" s="132"/>
    </row>
    <row r="87" spans="1:11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  <c r="K87" s="132"/>
    </row>
    <row r="88" spans="1:11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  <c r="K88" s="132"/>
    </row>
    <row r="89" spans="1:11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  <c r="K89" s="132"/>
    </row>
    <row r="90" spans="1:11" ht="18.75" thickBot="1">
      <c r="A90" s="13" t="s">
        <v>10</v>
      </c>
      <c r="B90" s="54">
        <f>132747.6-859.7</f>
        <v>131887.9</v>
      </c>
      <c r="C90" s="46">
        <f>157960+265+0.3+29.6-699.4-2295.4+0.1</f>
        <v>155260.2</v>
      </c>
      <c r="D90" s="47">
        <f>4.8+1016.5+864.1+250.6+6.8+2.9+10.6+6.1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+429.1+6414+3323.9+36.6+8.4+212.3+70.1+36.6+7.2+110.1+1542.8+2778.2+781.7+1+23.8+89.1+38.5+36.8+136.8+51+456.9+2694+5470.1+1854.7+3.9+348+4.4+42+73.8+254.9+57.8+270.2+669.1+287.6+5563.5+160.1+130.8+2.6+114.8+5+9.5+184.3+6.2+2663.5+4422.4+2497.1+0.7+0.1+92+221.4+152.4+25.7+179.6+108.2+35.8+645.8+4976+101.5+18.1+43.6+85.7+49.1+21.6+2.4+34.9+163.3+8158.5+16.7+21.8+29.4+134+35.1+13.2+25.6+270.8+3864+883.9+27.4+52.7+6+0.2+88.3+4.5+8.7+38.5+11.6+257</f>
        <v>108816.10000000003</v>
      </c>
      <c r="E90" s="3">
        <f>D90/D151*100</f>
        <v>7.79490094060792</v>
      </c>
      <c r="F90" s="3">
        <f aca="true" t="shared" si="10" ref="F90:F96">D90/B90*100</f>
        <v>82.50650742031684</v>
      </c>
      <c r="G90" s="3">
        <f t="shared" si="8"/>
        <v>70.08628096575943</v>
      </c>
      <c r="H90" s="47">
        <f aca="true" t="shared" si="11" ref="H90:H96">B90-D90</f>
        <v>23071.79999999996</v>
      </c>
      <c r="I90" s="47">
        <f t="shared" si="9"/>
        <v>46444.09999999998</v>
      </c>
      <c r="J90" s="136"/>
      <c r="K90" s="132"/>
    </row>
    <row r="91" spans="1:11" ht="18">
      <c r="A91" s="23" t="s">
        <v>3</v>
      </c>
      <c r="B91" s="42">
        <f>123695.3-18.2-1258.2</f>
        <v>122418.90000000001</v>
      </c>
      <c r="C91" s="43">
        <f>148246.2-137.7-228.3-64.5-80-812.7-2843.9</f>
        <v>144079.1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+600.3+4971.7+0.1+4.8+14.4+56+21.6+14.4+8047.8+21.3+17+55.2+259.1+3844.6+856.5+3.1+0.7+74.5+0.2</f>
        <v>101751.1</v>
      </c>
      <c r="E91" s="1">
        <f>D91/D90*100</f>
        <v>93.50739458591143</v>
      </c>
      <c r="F91" s="1">
        <f t="shared" si="10"/>
        <v>83.1171493944154</v>
      </c>
      <c r="G91" s="1">
        <f t="shared" si="8"/>
        <v>70.62169322268116</v>
      </c>
      <c r="H91" s="44">
        <f t="shared" si="11"/>
        <v>20667.800000000003</v>
      </c>
      <c r="I91" s="44">
        <f t="shared" si="9"/>
        <v>42328</v>
      </c>
      <c r="J91" s="136"/>
      <c r="K91" s="132"/>
    </row>
    <row r="92" spans="1:11" ht="18">
      <c r="A92" s="23" t="s">
        <v>26</v>
      </c>
      <c r="B92" s="42">
        <f>1718.6-1.2</f>
        <v>1717.3999999999999</v>
      </c>
      <c r="C92" s="43">
        <v>2620.6</v>
      </c>
      <c r="D92" s="44">
        <f>48.5+5.1+5+1.3+22.8+67.3+62.7+3.5+1.4+40.6+112.7+571.4+55.5+1.7+2.4+3.1+83.6+0.9+1.4+3.5+0.9+23.5+44.4+1+13.6+0.7+42.8+22.3+44+0.7+4.6+0.7+0.7+13.7+56.1+1.6+31.5+0.9+63.8+4.3+0.9+0.3+18-0.1+60.5</f>
        <v>1545.8000000000002</v>
      </c>
      <c r="E92" s="1">
        <f>D92/D90*100</f>
        <v>1.4205618470060954</v>
      </c>
      <c r="F92" s="1">
        <f t="shared" si="10"/>
        <v>90.00815185745896</v>
      </c>
      <c r="G92" s="1">
        <f t="shared" si="8"/>
        <v>58.98649164313517</v>
      </c>
      <c r="H92" s="44">
        <f t="shared" si="11"/>
        <v>171.59999999999968</v>
      </c>
      <c r="I92" s="44">
        <f t="shared" si="9"/>
        <v>1074.7999999999997</v>
      </c>
      <c r="J92" s="136"/>
      <c r="K92" s="132"/>
    </row>
    <row r="93" spans="1:11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  <c r="J93" s="136"/>
      <c r="K93" s="132"/>
    </row>
    <row r="94" spans="1:11" ht="18.75" thickBot="1">
      <c r="A94" s="23" t="s">
        <v>28</v>
      </c>
      <c r="B94" s="43">
        <f>B90-B91-B92-B93</f>
        <v>7751.599999999986</v>
      </c>
      <c r="C94" s="43">
        <f>C90-C91-C92-C93</f>
        <v>8560.500000000005</v>
      </c>
      <c r="D94" s="43">
        <f>D90-D91-D92-D93</f>
        <v>5519.200000000029</v>
      </c>
      <c r="E94" s="1">
        <f>D94/D90*100</f>
        <v>5.07204356708247</v>
      </c>
      <c r="F94" s="1">
        <f t="shared" si="10"/>
        <v>71.20078435419835</v>
      </c>
      <c r="G94" s="1">
        <f>D94/C94*100</f>
        <v>64.47286957537557</v>
      </c>
      <c r="H94" s="44">
        <f t="shared" si="11"/>
        <v>2232.399999999957</v>
      </c>
      <c r="I94" s="44">
        <f>C94-D94</f>
        <v>3041.2999999999765</v>
      </c>
      <c r="J94" s="136"/>
      <c r="K94" s="132"/>
    </row>
    <row r="95" spans="1:11" ht="18">
      <c r="A95" s="108" t="s">
        <v>12</v>
      </c>
      <c r="B95" s="128">
        <f>48891.1-50</f>
        <v>48841.1</v>
      </c>
      <c r="C95" s="112">
        <f>59880.5+5316.8+172.8+165-3329.3+408.2-3637.6</f>
        <v>58976.4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+380+2.9+45.6+12.2+203.4+77.7+99.9+42+431.8+206.3+842.6+562.9+543.9+34.3+22+4.8-0.2+57.2+260.6+109.2</f>
        <v>45658.80000000001</v>
      </c>
      <c r="E95" s="107">
        <f>D95/D151*100</f>
        <v>3.2707092339003956</v>
      </c>
      <c r="F95" s="110">
        <f t="shared" si="10"/>
        <v>93.48438098241033</v>
      </c>
      <c r="G95" s="106">
        <f>D95/C95*100</f>
        <v>77.41876411581583</v>
      </c>
      <c r="H95" s="111">
        <f t="shared" si="11"/>
        <v>3182.2999999999884</v>
      </c>
      <c r="I95" s="121">
        <f>C95-D95</f>
        <v>13317.599999999991</v>
      </c>
      <c r="K95" s="132"/>
    </row>
    <row r="96" spans="1:11" ht="18.75" thickBot="1">
      <c r="A96" s="109" t="s">
        <v>84</v>
      </c>
      <c r="B96" s="113">
        <v>8568.8</v>
      </c>
      <c r="C96" s="114">
        <f>10660.3-133.5+11.8+210.8-0.1</f>
        <v>10749.299999999997</v>
      </c>
      <c r="D96" s="115">
        <f>69.1+1043.7+68.3+1051.8+1+68.3+66.1+938.4+3+68.7+11.3+4.3+734+67.7+6.3+0.4+21.5+2.2+658.8+0.1+17.8+71.8+130.4+525.1+460.8+17+3.6+18.3+567.4+6.6+33.7+842.6+39.7-0.1+76.9</f>
        <v>7696.6</v>
      </c>
      <c r="E96" s="116">
        <f>D96/D95*100</f>
        <v>16.856772407509613</v>
      </c>
      <c r="F96" s="117">
        <f t="shared" si="10"/>
        <v>89.82121183829709</v>
      </c>
      <c r="G96" s="118">
        <f>D96/C96*100</f>
        <v>71.600941456653</v>
      </c>
      <c r="H96" s="122">
        <f t="shared" si="11"/>
        <v>872.1999999999989</v>
      </c>
      <c r="I96" s="123">
        <f>C96-D96</f>
        <v>3052.699999999997</v>
      </c>
      <c r="K96" s="132"/>
    </row>
    <row r="97" spans="1:11" ht="8.25" customHeight="1" thickBot="1">
      <c r="A97" s="18"/>
      <c r="B97" s="51"/>
      <c r="C97" s="60"/>
      <c r="D97" s="61"/>
      <c r="E97" s="6"/>
      <c r="F97" s="6"/>
      <c r="G97" s="6"/>
      <c r="H97" s="61"/>
      <c r="I97" s="61"/>
      <c r="K97" s="132"/>
    </row>
    <row r="98" spans="1:11" ht="18.7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  <c r="K98" s="132"/>
    </row>
    <row r="99" spans="1:11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  <c r="K99" s="132"/>
    </row>
    <row r="100" spans="1:11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  <c r="K100" s="135"/>
    </row>
    <row r="101" spans="1:11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  <c r="K101" s="132"/>
    </row>
    <row r="102" spans="1:11" s="37" customFormat="1" ht="18.75" thickBot="1">
      <c r="A102" s="13" t="s">
        <v>11</v>
      </c>
      <c r="B102" s="127">
        <f>10332.7-1549.4</f>
        <v>8783.300000000001</v>
      </c>
      <c r="C102" s="92">
        <f>12999.2-348+46.7-53.7+124.7-124.6+10.7+5.1+0.1+19.5-3.3-2260.1</f>
        <v>10416.300000000003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+4.9+13.9+13.7+11.7+85.5+86.8+9+46.7+11.2+55.4+16.2+137.7+25.8+13+5.8+21.2+10+44.3+88.4+15.9</f>
        <v>7387.499999999994</v>
      </c>
      <c r="E102" s="19">
        <f>D102/D151*100</f>
        <v>0.5291940319377458</v>
      </c>
      <c r="F102" s="19">
        <f>D102/B102*100</f>
        <v>84.10847859005149</v>
      </c>
      <c r="G102" s="19">
        <f aca="true" t="shared" si="12" ref="G102:G149">D102/C102*100</f>
        <v>70.92249647187573</v>
      </c>
      <c r="H102" s="79">
        <f aca="true" t="shared" si="13" ref="H102:H107">B102-D102</f>
        <v>1395.8000000000075</v>
      </c>
      <c r="I102" s="79">
        <f aca="true" t="shared" si="14" ref="I102:I149">C102-D102</f>
        <v>3028.8000000000093</v>
      </c>
      <c r="K102" s="133"/>
    </row>
    <row r="103" spans="1:11" ht="18">
      <c r="A103" s="23" t="s">
        <v>3</v>
      </c>
      <c r="B103" s="89">
        <v>240.4</v>
      </c>
      <c r="C103" s="87">
        <v>259.1</v>
      </c>
      <c r="D103" s="87">
        <f>17.3+10+11+0.1+10.9+18.9+0.1+11+25.2+18.3+2.4+10.6+13.7+13.9+13.8+13</f>
        <v>190.2</v>
      </c>
      <c r="E103" s="83">
        <f>D103/D102*100</f>
        <v>2.5746192893401036</v>
      </c>
      <c r="F103" s="1">
        <f>D103/B103*100</f>
        <v>79.11813643926789</v>
      </c>
      <c r="G103" s="83">
        <f>D103/C103*100</f>
        <v>73.40795059822462</v>
      </c>
      <c r="H103" s="87">
        <f t="shared" si="13"/>
        <v>50.20000000000002</v>
      </c>
      <c r="I103" s="87">
        <f t="shared" si="14"/>
        <v>68.90000000000003</v>
      </c>
      <c r="K103" s="132"/>
    </row>
    <row r="104" spans="1:11" ht="18">
      <c r="A104" s="85" t="s">
        <v>49</v>
      </c>
      <c r="B104" s="74">
        <f>8337.3-1376.8-0.1</f>
        <v>6960.399999999999</v>
      </c>
      <c r="C104" s="44">
        <f>10720.8-348+46.7-56.3+125.1-124.6-51.5+5.1+21.6-3.3-2080.6-0.1</f>
        <v>8254.900000000001</v>
      </c>
      <c r="D104" s="44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+4.9+11.7+85.5+19.5+55.4+137.7+25.8+5.8+21.2+10+66.2+10.5</f>
        <v>5883.799999999998</v>
      </c>
      <c r="E104" s="1">
        <f>D104/D102*100</f>
        <v>79.6453468697124</v>
      </c>
      <c r="F104" s="1">
        <f aca="true" t="shared" si="15" ref="F104:F149">D104/B104*100</f>
        <v>84.53249813229124</v>
      </c>
      <c r="G104" s="1">
        <f t="shared" si="12"/>
        <v>71.27645398490591</v>
      </c>
      <c r="H104" s="44">
        <f t="shared" si="13"/>
        <v>1076.6000000000004</v>
      </c>
      <c r="I104" s="44">
        <f t="shared" si="14"/>
        <v>2371.100000000003</v>
      </c>
      <c r="K104" s="132"/>
    </row>
    <row r="105" spans="1:11" ht="55.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  <c r="K105" s="132"/>
    </row>
    <row r="106" spans="1:11" ht="18.75" thickBot="1">
      <c r="A106" s="86" t="s">
        <v>28</v>
      </c>
      <c r="B106" s="88">
        <f>B102-B103-B104</f>
        <v>1582.5000000000027</v>
      </c>
      <c r="C106" s="88">
        <f>C102-C103-C104</f>
        <v>1902.300000000001</v>
      </c>
      <c r="D106" s="88">
        <f>D102-D103-D104</f>
        <v>1313.4999999999955</v>
      </c>
      <c r="E106" s="84">
        <f>D106/D102*100</f>
        <v>17.7800338409475</v>
      </c>
      <c r="F106" s="84">
        <f t="shared" si="15"/>
        <v>83.00157977883053</v>
      </c>
      <c r="G106" s="84">
        <f t="shared" si="12"/>
        <v>69.04799453293354</v>
      </c>
      <c r="H106" s="123">
        <f>B106-D106</f>
        <v>269.0000000000073</v>
      </c>
      <c r="I106" s="123">
        <f t="shared" si="14"/>
        <v>588.8000000000056</v>
      </c>
      <c r="K106" s="132"/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414709.1000000001</v>
      </c>
      <c r="C107" s="81">
        <f>SUM(C108:C148)-C115-C119+C149-C140-C141-C109-C112-C122-C123-C138-C131-C129-C136</f>
        <v>520374.6</v>
      </c>
      <c r="D107" s="81">
        <f>SUM(D108:D148)-D115-D119+D149-D140-D141-D109-D112-D122-D123-D138-D131-D129-D136</f>
        <v>382997.50000000006</v>
      </c>
      <c r="E107" s="82">
        <f>D107/D151*100</f>
        <v>27.435531810095025</v>
      </c>
      <c r="F107" s="82">
        <f>D107/B107*100</f>
        <v>92.35329053546208</v>
      </c>
      <c r="G107" s="82">
        <f t="shared" si="12"/>
        <v>73.60034482851393</v>
      </c>
      <c r="H107" s="81">
        <f t="shared" si="13"/>
        <v>31711.600000000035</v>
      </c>
      <c r="I107" s="81">
        <f t="shared" si="14"/>
        <v>137377.09999999992</v>
      </c>
    </row>
    <row r="108" spans="1:9" ht="36.75">
      <c r="A108" s="28" t="s">
        <v>53</v>
      </c>
      <c r="B108" s="71">
        <v>3174.6</v>
      </c>
      <c r="C108" s="67">
        <v>4095.6</v>
      </c>
      <c r="D108" s="72">
        <f>12.6+3.2+110.8+149.9+0.1+86+66+19.9+30.9+1.3+4.4+3.9+8.5+1.6+0.1+167.2+12.2+0.7+2+1.4+0.1+115.6+14.7+10.7+8.1+0.6+3.1+4.1+2.8-0.2+122.3+40.3+0.6+1.6+1.5+0.1+131+0.3+1.6+2.9+14.2+140+2+0.9+3.7+15.5+3.2+1.5+3.5+0.3+5+1.2-0.5+123.5+3.6+38.8+0.7+6.4+61.6+58.5+3.9+2.1+5.7+7.3+6.3+1.5+3.2</f>
        <v>1658.1000000000004</v>
      </c>
      <c r="E108" s="6">
        <f>D108/D107*100</f>
        <v>0.4329271078792943</v>
      </c>
      <c r="F108" s="6">
        <f t="shared" si="15"/>
        <v>52.23020223020224</v>
      </c>
      <c r="G108" s="6">
        <f t="shared" si="12"/>
        <v>40.48491063580429</v>
      </c>
      <c r="H108" s="61">
        <f aca="true" t="shared" si="16" ref="H108:H149">B108-D108</f>
        <v>1516.4999999999995</v>
      </c>
      <c r="I108" s="61">
        <f t="shared" si="14"/>
        <v>2437.4999999999995</v>
      </c>
    </row>
    <row r="109" spans="1:9" ht="18">
      <c r="A109" s="23" t="s">
        <v>26</v>
      </c>
      <c r="B109" s="74">
        <v>1934.9</v>
      </c>
      <c r="C109" s="44">
        <v>2633.8</v>
      </c>
      <c r="D109" s="75">
        <f>68.3+138.7+47.8+60.9+18.1+30+81.4+40.6+14.7+2.7+31.2+33.2+49.1+0.8+32+30.3</f>
        <v>679.8000000000001</v>
      </c>
      <c r="E109" s="1">
        <f>D109/D108*100</f>
        <v>40.99873349013931</v>
      </c>
      <c r="F109" s="1">
        <f t="shared" si="15"/>
        <v>35.133598635588406</v>
      </c>
      <c r="G109" s="1">
        <f t="shared" si="12"/>
        <v>25.810615840230845</v>
      </c>
      <c r="H109" s="44">
        <f t="shared" si="16"/>
        <v>1255.1</v>
      </c>
      <c r="I109" s="44">
        <f t="shared" si="14"/>
        <v>1954</v>
      </c>
    </row>
    <row r="110" spans="1:9" ht="34.5" customHeight="1">
      <c r="A110" s="16" t="s">
        <v>79</v>
      </c>
      <c r="B110" s="73">
        <v>993.8</v>
      </c>
      <c r="C110" s="61">
        <v>1175.4</v>
      </c>
      <c r="D110" s="72">
        <f>11.8+87.5+28+44.4+7.5+8.9+32.2+39.5+59.2+220.2+6.2+18.8+4.5+75.4</f>
        <v>644.1</v>
      </c>
      <c r="E110" s="6">
        <f>D110/D107*100</f>
        <v>0.16817342149752934</v>
      </c>
      <c r="F110" s="6">
        <f>D110/B110*100</f>
        <v>64.81183336687462</v>
      </c>
      <c r="G110" s="6">
        <f t="shared" si="12"/>
        <v>54.798366513527306</v>
      </c>
      <c r="H110" s="61">
        <f t="shared" si="16"/>
        <v>349.69999999999993</v>
      </c>
      <c r="I110" s="61">
        <f t="shared" si="14"/>
        <v>531.3000000000001</v>
      </c>
    </row>
    <row r="111" spans="1:9" s="37" customFormat="1" ht="34.5" customHeight="1">
      <c r="A111" s="16" t="s">
        <v>97</v>
      </c>
      <c r="B111" s="73">
        <v>196.7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196.7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">
      <c r="A113" s="16" t="s">
        <v>93</v>
      </c>
      <c r="B113" s="73">
        <v>60</v>
      </c>
      <c r="C113" s="61">
        <v>60</v>
      </c>
      <c r="D113" s="72">
        <f>9.1+9.1+9.8+2.5</f>
        <v>30.5</v>
      </c>
      <c r="E113" s="6">
        <f>D113/D107*100</f>
        <v>0.00796349845625624</v>
      </c>
      <c r="F113" s="6">
        <f t="shared" si="15"/>
        <v>50.83333333333333</v>
      </c>
      <c r="G113" s="6">
        <f t="shared" si="12"/>
        <v>50.83333333333333</v>
      </c>
      <c r="H113" s="61">
        <f t="shared" si="16"/>
        <v>29.5</v>
      </c>
      <c r="I113" s="61">
        <f t="shared" si="14"/>
        <v>29.5</v>
      </c>
    </row>
    <row r="114" spans="1:9" ht="36.75">
      <c r="A114" s="16" t="s">
        <v>39</v>
      </c>
      <c r="B114" s="73">
        <v>2482.8</v>
      </c>
      <c r="C114" s="61">
        <f>2915.4+6.2+77.9</f>
        <v>2999.5</v>
      </c>
      <c r="D114" s="72">
        <f>136.4+40+10+2+0.1+10.6+142+54.3+10.6+6.6+21.9+41.3+8.2+239.5+0.2+6.2+0.7+26.9+145.7+54.9+4+2+1.1+3.5+2.2+195.9+3.8+0.4+0.2+181.5+10+1.7+7.3+203.7+0.1+6.2+185.1+14.5+72+29.1+0.3+192.4+4.9+207.6</f>
        <v>2287.6</v>
      </c>
      <c r="E114" s="6">
        <f>D114/D107*100</f>
        <v>0.5972884940502221</v>
      </c>
      <c r="F114" s="6">
        <f t="shared" si="15"/>
        <v>92.13790881263088</v>
      </c>
      <c r="G114" s="6">
        <f t="shared" si="12"/>
        <v>76.26604434072345</v>
      </c>
      <c r="H114" s="61">
        <f t="shared" si="16"/>
        <v>195.20000000000027</v>
      </c>
      <c r="I114" s="61">
        <f t="shared" si="14"/>
        <v>711.9000000000001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6.75">
      <c r="A117" s="16" t="s">
        <v>48</v>
      </c>
      <c r="B117" s="73">
        <f>199-80</f>
        <v>119</v>
      </c>
      <c r="C117" s="61">
        <f>99+100-80</f>
        <v>119</v>
      </c>
      <c r="D117" s="72">
        <f>18</f>
        <v>18</v>
      </c>
      <c r="E117" s="6">
        <f>D117/D107*100</f>
        <v>0.0046997695807413885</v>
      </c>
      <c r="F117" s="6">
        <f>D117/B117*100</f>
        <v>15.126050420168067</v>
      </c>
      <c r="G117" s="6">
        <f t="shared" si="12"/>
        <v>15.126050420168067</v>
      </c>
      <c r="H117" s="61">
        <f t="shared" si="16"/>
        <v>101</v>
      </c>
      <c r="I117" s="61">
        <f t="shared" si="14"/>
        <v>101</v>
      </c>
    </row>
    <row r="118" spans="1:9" s="2" customFormat="1" ht="18">
      <c r="A118" s="16" t="s">
        <v>15</v>
      </c>
      <c r="B118" s="73">
        <v>334.8</v>
      </c>
      <c r="C118" s="53">
        <v>422.8</v>
      </c>
      <c r="D118" s="72">
        <f>39+5+6.2+39.1+4.9+0.4+0.8+39+0.1+5.5+0.9+39+4.8+1.3+39-0.1+0.8+0.4+5+0.8+5.1+0.2+0.4+2.2+3.5+39+0.4+3+0.8+39+6+0.3-0.1</f>
        <v>331.70000000000005</v>
      </c>
      <c r="E118" s="6">
        <f>D118/D107*100</f>
        <v>0.08660630944066214</v>
      </c>
      <c r="F118" s="6">
        <f t="shared" si="15"/>
        <v>99.07407407407408</v>
      </c>
      <c r="G118" s="6">
        <f t="shared" si="12"/>
        <v>78.4531693472091</v>
      </c>
      <c r="H118" s="61">
        <f t="shared" si="16"/>
        <v>3.099999999999966</v>
      </c>
      <c r="I118" s="61">
        <f t="shared" si="14"/>
        <v>91.09999999999997</v>
      </c>
    </row>
    <row r="119" spans="1:9" s="32" customFormat="1" ht="18">
      <c r="A119" s="33" t="s">
        <v>44</v>
      </c>
      <c r="B119" s="74">
        <v>273.3</v>
      </c>
      <c r="C119" s="44">
        <v>351.4</v>
      </c>
      <c r="D119" s="75">
        <f>39+39.1+39+39.1+39+39+39</f>
        <v>273.2</v>
      </c>
      <c r="E119" s="1">
        <f>D119/D118*100</f>
        <v>82.363581549593</v>
      </c>
      <c r="F119" s="1">
        <f t="shared" si="15"/>
        <v>99.96341017197217</v>
      </c>
      <c r="G119" s="1">
        <f t="shared" si="12"/>
        <v>77.74615822424587</v>
      </c>
      <c r="H119" s="44">
        <f t="shared" si="16"/>
        <v>0.10000000000002274</v>
      </c>
      <c r="I119" s="44">
        <f t="shared" si="14"/>
        <v>78.19999999999999</v>
      </c>
    </row>
    <row r="120" spans="1:9" s="2" customFormat="1" ht="18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98</v>
      </c>
      <c r="B121" s="73">
        <v>520</v>
      </c>
      <c r="C121" s="53">
        <v>520</v>
      </c>
      <c r="D121" s="76">
        <f>49.4+11+30.6+15.4</f>
        <v>106.4</v>
      </c>
      <c r="E121" s="17">
        <f>D121/D107*100</f>
        <v>0.02778086018838243</v>
      </c>
      <c r="F121" s="6">
        <f t="shared" si="15"/>
        <v>20.46153846153846</v>
      </c>
      <c r="G121" s="6">
        <f t="shared" si="12"/>
        <v>20.46153846153846</v>
      </c>
      <c r="H121" s="61">
        <f t="shared" si="16"/>
        <v>413.6</v>
      </c>
      <c r="I121" s="61">
        <f t="shared" si="14"/>
        <v>413.6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6.75">
      <c r="A124" s="16" t="s">
        <v>99</v>
      </c>
      <c r="B124" s="73">
        <f>33189.6+100</f>
        <v>33289.6</v>
      </c>
      <c r="C124" s="53">
        <f>33585.8+9933.2-1212.8-350-61.4+460.5</f>
        <v>42355.299999999996</v>
      </c>
      <c r="D124" s="76">
        <f>3483.8+2635.6+1853.3+812.9+1333.3+1694.1+1722.4+661.9+934+1328+225+1781.5+1097.2+0.1+1902.6+1343+1822.5+1392+1771.1+3307.3+1386.4</f>
        <v>32487.999999999996</v>
      </c>
      <c r="E124" s="17">
        <f>D124/D107*100</f>
        <v>8.482561896618122</v>
      </c>
      <c r="F124" s="6">
        <f t="shared" si="15"/>
        <v>97.5920407574738</v>
      </c>
      <c r="G124" s="6">
        <f t="shared" si="12"/>
        <v>76.70350581863427</v>
      </c>
      <c r="H124" s="61">
        <f t="shared" si="16"/>
        <v>801.6000000000022</v>
      </c>
      <c r="I124" s="61">
        <f t="shared" si="14"/>
        <v>9867.3</v>
      </c>
    </row>
    <row r="125" spans="1:9" s="2" customFormat="1" ht="18">
      <c r="A125" s="16" t="s">
        <v>95</v>
      </c>
      <c r="B125" s="73">
        <f>695-4.6</f>
        <v>690.4</v>
      </c>
      <c r="C125" s="53">
        <f>585+110-4.6</f>
        <v>690.4</v>
      </c>
      <c r="D125" s="76">
        <f>10+6+64.3</f>
        <v>80.3</v>
      </c>
      <c r="E125" s="17">
        <f>D125/D107*100</f>
        <v>0.020966194296307413</v>
      </c>
      <c r="F125" s="6">
        <f t="shared" si="15"/>
        <v>11.630938586326767</v>
      </c>
      <c r="G125" s="6">
        <f t="shared" si="12"/>
        <v>11.630938586326767</v>
      </c>
      <c r="H125" s="61">
        <f t="shared" si="16"/>
        <v>610.1</v>
      </c>
      <c r="I125" s="61">
        <f t="shared" si="14"/>
        <v>610.1</v>
      </c>
    </row>
    <row r="126" spans="1:12" s="2" customFormat="1" ht="36.75">
      <c r="A126" s="16" t="s">
        <v>104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  <c r="L126" s="129"/>
    </row>
    <row r="127" spans="1:9" s="2" customFormat="1" ht="36.75">
      <c r="A127" s="16" t="s">
        <v>86</v>
      </c>
      <c r="B127" s="73">
        <v>81.6</v>
      </c>
      <c r="C127" s="53">
        <v>81.6</v>
      </c>
      <c r="D127" s="76">
        <v>19.7</v>
      </c>
      <c r="E127" s="17">
        <f>D127/D107*100</f>
        <v>0.0051436367078114085</v>
      </c>
      <c r="F127" s="6">
        <f t="shared" si="15"/>
        <v>24.142156862745097</v>
      </c>
      <c r="G127" s="6">
        <f t="shared" si="12"/>
        <v>24.142156862745097</v>
      </c>
      <c r="H127" s="61">
        <f t="shared" si="16"/>
        <v>61.89999999999999</v>
      </c>
      <c r="I127" s="61">
        <f t="shared" si="14"/>
        <v>61.89999999999999</v>
      </c>
    </row>
    <row r="128" spans="1:9" s="2" customFormat="1" ht="36.75">
      <c r="A128" s="16" t="s">
        <v>58</v>
      </c>
      <c r="B128" s="73">
        <f>1016.6</f>
        <v>1016.6</v>
      </c>
      <c r="C128" s="53">
        <f>1253.3</f>
        <v>1253.3</v>
      </c>
      <c r="D128" s="76">
        <f>6.5+6.7+0.9+10.2+6.4+2.4+29+2.5+26.7+1.1+7.5+20.9+3.3+0.1+0.6+54.3+6.4+19+6.4-0.2+0.9+1+0.1+24+11.8+60.3+1.8+4+2+10.5+0.5+0.1+1.1+56.8+0.1-0.1+8.7+10.4+6.4+43.4+6.5+23.9+0.2+0.1+0.2+49.2+6.4</f>
        <v>541</v>
      </c>
      <c r="E128" s="17">
        <f>D128/D107*100</f>
        <v>0.14125418573228282</v>
      </c>
      <c r="F128" s="6">
        <f t="shared" si="15"/>
        <v>53.21660436749951</v>
      </c>
      <c r="G128" s="6">
        <f t="shared" si="12"/>
        <v>43.16604165004389</v>
      </c>
      <c r="H128" s="61">
        <f t="shared" si="16"/>
        <v>475.6</v>
      </c>
      <c r="I128" s="61">
        <f t="shared" si="14"/>
        <v>712.3</v>
      </c>
    </row>
    <row r="129" spans="1:9" s="32" customFormat="1" ht="18">
      <c r="A129" s="23" t="s">
        <v>89</v>
      </c>
      <c r="B129" s="74">
        <f>231.8</f>
        <v>231.8</v>
      </c>
      <c r="C129" s="44">
        <f>459.6</f>
        <v>459.6</v>
      </c>
      <c r="D129" s="75">
        <f>6.4+6.4+6.4+6.4+6.4+24+6.4+56.8+6.4+6.4+6.5+42.1+6.4</f>
        <v>187</v>
      </c>
      <c r="E129" s="1">
        <f>D129/D128*100</f>
        <v>34.56561922365989</v>
      </c>
      <c r="F129" s="1">
        <f>D129/B129*100</f>
        <v>80.6729939603106</v>
      </c>
      <c r="G129" s="1">
        <f t="shared" si="12"/>
        <v>40.6875543951262</v>
      </c>
      <c r="H129" s="44">
        <f t="shared" si="16"/>
        <v>44.80000000000001</v>
      </c>
      <c r="I129" s="44">
        <f t="shared" si="14"/>
        <v>272.6</v>
      </c>
    </row>
    <row r="130" spans="1:9" s="2" customFormat="1" ht="36.75">
      <c r="A130" s="16" t="s">
        <v>110</v>
      </c>
      <c r="B130" s="73">
        <v>200</v>
      </c>
      <c r="C130" s="53">
        <v>200</v>
      </c>
      <c r="D130" s="76"/>
      <c r="E130" s="17">
        <f>D130/D107*100</f>
        <v>0</v>
      </c>
      <c r="F130" s="124">
        <f t="shared" si="15"/>
        <v>0</v>
      </c>
      <c r="G130" s="6">
        <f t="shared" si="12"/>
        <v>0</v>
      </c>
      <c r="H130" s="61">
        <f t="shared" si="16"/>
        <v>200</v>
      </c>
      <c r="I130" s="61">
        <f t="shared" si="14"/>
        <v>200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106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105</v>
      </c>
      <c r="B133" s="73">
        <v>926.2</v>
      </c>
      <c r="C133" s="53">
        <f>1+925.2</f>
        <v>926.2</v>
      </c>
      <c r="D133" s="76">
        <f>926.2</f>
        <v>926.2</v>
      </c>
      <c r="E133" s="17">
        <f>D133/D107*100</f>
        <v>0.24182925476014852</v>
      </c>
      <c r="F133" s="6">
        <f t="shared" si="15"/>
        <v>100</v>
      </c>
      <c r="G133" s="6">
        <f t="shared" si="12"/>
        <v>100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88</v>
      </c>
      <c r="B134" s="73">
        <f>90.1+250</f>
        <v>340.1</v>
      </c>
      <c r="C134" s="53">
        <f>108.1+250</f>
        <v>358.1</v>
      </c>
      <c r="D134" s="76">
        <f>3.8+10.3+1.3+2-0.1+1.7+6.8</f>
        <v>25.8</v>
      </c>
      <c r="E134" s="17">
        <f>D134/D107*100</f>
        <v>0.006736336399062657</v>
      </c>
      <c r="F134" s="6">
        <f t="shared" si="15"/>
        <v>7.586004116436341</v>
      </c>
      <c r="G134" s="6">
        <f t="shared" si="12"/>
        <v>7.204691426975705</v>
      </c>
      <c r="H134" s="61">
        <f t="shared" si="16"/>
        <v>314.3</v>
      </c>
      <c r="I134" s="61">
        <f t="shared" si="14"/>
        <v>332.3</v>
      </c>
    </row>
    <row r="135" spans="1:9" s="2" customFormat="1" ht="39" customHeight="1">
      <c r="A135" s="16" t="s">
        <v>55</v>
      </c>
      <c r="B135" s="73">
        <f>470-200</f>
        <v>270</v>
      </c>
      <c r="C135" s="53">
        <f>626.8-200</f>
        <v>426.79999999999995</v>
      </c>
      <c r="D135" s="76">
        <f>1.2+14.1+4+6.1+23.5</f>
        <v>48.9</v>
      </c>
      <c r="E135" s="17">
        <f>D135/D107*100</f>
        <v>0.012767707361014104</v>
      </c>
      <c r="F135" s="6">
        <f t="shared" si="15"/>
        <v>18.11111111111111</v>
      </c>
      <c r="G135" s="6">
        <f t="shared" si="12"/>
        <v>11.457357075913778</v>
      </c>
      <c r="H135" s="61">
        <f t="shared" si="16"/>
        <v>221.1</v>
      </c>
      <c r="I135" s="61">
        <f t="shared" si="14"/>
        <v>377.9</v>
      </c>
    </row>
    <row r="136" spans="1:9" s="32" customFormat="1" ht="18">
      <c r="A136" s="23" t="s">
        <v>89</v>
      </c>
      <c r="B136" s="74">
        <f>310-142.4</f>
        <v>167.6</v>
      </c>
      <c r="C136" s="44">
        <f>400-142.4</f>
        <v>257.6</v>
      </c>
      <c r="D136" s="75">
        <f>1.2+4+6.1+23.5</f>
        <v>34.8</v>
      </c>
      <c r="E136" s="1"/>
      <c r="F136" s="6">
        <f>D136/B136*100</f>
        <v>20.763723150357993</v>
      </c>
      <c r="G136" s="1">
        <f>D136/C136*100</f>
        <v>13.509316770186333</v>
      </c>
      <c r="H136" s="44">
        <f>B136-D136</f>
        <v>132.8</v>
      </c>
      <c r="I136" s="44">
        <f>C136-D136</f>
        <v>222.8</v>
      </c>
    </row>
    <row r="137" spans="1:9" s="2" customFormat="1" ht="36.75">
      <c r="A137" s="16" t="s">
        <v>85</v>
      </c>
      <c r="B137" s="73">
        <v>313</v>
      </c>
      <c r="C137" s="53">
        <v>381.2</v>
      </c>
      <c r="D137" s="76">
        <f>0.5+1.3+15.9+33.5+3+0.6+15.2+1.3+36.5+1.9+0.3+0.3+0.6+5+2+16.5+0.1+0.5+1.2+18.6-0.1+0.3+0.5+0.5+16+2+17.3+2.1+0.4+0.7+25.9+2.2+17.9+2.1+0.8+15.3+2.1</f>
        <v>260.8</v>
      </c>
      <c r="E137" s="17">
        <f>D137/D107*100</f>
        <v>0.0680944392587419</v>
      </c>
      <c r="F137" s="6">
        <f>D137/B137*100</f>
        <v>83.3226837060703</v>
      </c>
      <c r="G137" s="6">
        <f>D137/C137*100</f>
        <v>68.41552990556139</v>
      </c>
      <c r="H137" s="61">
        <f t="shared" si="16"/>
        <v>52.19999999999999</v>
      </c>
      <c r="I137" s="61">
        <f t="shared" si="14"/>
        <v>120.39999999999998</v>
      </c>
    </row>
    <row r="138" spans="1:9" s="32" customFormat="1" ht="18">
      <c r="A138" s="23" t="s">
        <v>26</v>
      </c>
      <c r="B138" s="74">
        <v>251.2</v>
      </c>
      <c r="C138" s="44">
        <v>306.1</v>
      </c>
      <c r="D138" s="75">
        <f>15.9+33.5+15.2+36.5+0.3+4.6+16.5-0.1+1.2+16+0.3+16+0.1+16.2+0.3+25.4+16.9+0.3+14.8</f>
        <v>229.90000000000003</v>
      </c>
      <c r="E138" s="1">
        <f>D138/D137*100</f>
        <v>88.15184049079755</v>
      </c>
      <c r="F138" s="1">
        <f t="shared" si="15"/>
        <v>91.52070063694269</v>
      </c>
      <c r="G138" s="1">
        <f>D138/C138*100</f>
        <v>75.10617445279321</v>
      </c>
      <c r="H138" s="44">
        <f t="shared" si="16"/>
        <v>21.299999999999955</v>
      </c>
      <c r="I138" s="44">
        <f t="shared" si="14"/>
        <v>76.19999999999999</v>
      </c>
    </row>
    <row r="139" spans="1:9" s="2" customFormat="1" ht="18">
      <c r="A139" s="16" t="s">
        <v>100</v>
      </c>
      <c r="B139" s="73">
        <v>1284.9</v>
      </c>
      <c r="C139" s="53">
        <f>1397.4+115.2</f>
        <v>1512.6000000000001</v>
      </c>
      <c r="D139" s="76">
        <f>26+59.9+0.4-0.1+0.1+27.3+5.8+57.7+6.3+46.3+13.6+50.5+6-0.1+43.3+3.1+0.2+52.2+16.7+42.4+4.7+8+55+5.3+39.2+0.5+5+82.1+95.1+0.2+73.5+79.4+74.3-0.2+13.8+17.8+27+18+79.9+50.5+8.2+5.3</f>
        <v>1200.1999999999998</v>
      </c>
      <c r="E139" s="17">
        <f>D139/D107*100</f>
        <v>0.31337019171143404</v>
      </c>
      <c r="F139" s="6">
        <f t="shared" si="15"/>
        <v>93.40804731885748</v>
      </c>
      <c r="G139" s="6">
        <f t="shared" si="12"/>
        <v>79.34682004495569</v>
      </c>
      <c r="H139" s="61">
        <f t="shared" si="16"/>
        <v>84.70000000000027</v>
      </c>
      <c r="I139" s="61">
        <f t="shared" si="14"/>
        <v>312.4000000000003</v>
      </c>
    </row>
    <row r="140" spans="1:9" s="32" customFormat="1" ht="18">
      <c r="A140" s="33" t="s">
        <v>44</v>
      </c>
      <c r="B140" s="74">
        <v>1003.6</v>
      </c>
      <c r="C140" s="44">
        <f>1063.5+115.2</f>
        <v>1178.7</v>
      </c>
      <c r="D140" s="75">
        <f>26+59.9+27.3+57.1-0.1+46.3+42.7-0.1+36.4+51.8+8.5+28+53.1+4.3+35.3+82.1+45.8+73.5+42.3+73.9-0.1+13.8+27+76+32.8+8.2</f>
        <v>951.7999999999998</v>
      </c>
      <c r="E140" s="1">
        <f>D140/D139*100</f>
        <v>79.30344942509582</v>
      </c>
      <c r="F140" s="1">
        <f aca="true" t="shared" si="17" ref="F140:F148">D140/B140*100</f>
        <v>94.83858110801114</v>
      </c>
      <c r="G140" s="1">
        <f t="shared" si="12"/>
        <v>80.74997879019257</v>
      </c>
      <c r="H140" s="44">
        <f t="shared" si="16"/>
        <v>51.80000000000018</v>
      </c>
      <c r="I140" s="44">
        <f t="shared" si="14"/>
        <v>226.9000000000002</v>
      </c>
    </row>
    <row r="141" spans="1:9" s="32" customFormat="1" ht="18">
      <c r="A141" s="23" t="s">
        <v>26</v>
      </c>
      <c r="B141" s="74">
        <v>27.6</v>
      </c>
      <c r="C141" s="44">
        <v>37.5</v>
      </c>
      <c r="D141" s="75">
        <f>0.4+5.6+0.6+6+0.1+3.7+0.1+0.4+1+0.3+0.3+0.3+0.2-0.1+0.3</f>
        <v>19.2</v>
      </c>
      <c r="E141" s="1">
        <f>D141/D139*100</f>
        <v>1.5997333777703717</v>
      </c>
      <c r="F141" s="1">
        <f t="shared" si="17"/>
        <v>69.56521739130434</v>
      </c>
      <c r="G141" s="1">
        <f>D141/C141*100</f>
        <v>51.2</v>
      </c>
      <c r="H141" s="44">
        <f t="shared" si="16"/>
        <v>8.400000000000002</v>
      </c>
      <c r="I141" s="44">
        <f t="shared" si="14"/>
        <v>18.3</v>
      </c>
    </row>
    <row r="142" spans="1:9" s="2" customFormat="1" ht="33.75" customHeight="1">
      <c r="A142" s="18" t="s">
        <v>57</v>
      </c>
      <c r="B142" s="73">
        <f>1873.1-1001</f>
        <v>872.0999999999999</v>
      </c>
      <c r="C142" s="53">
        <f>200+300+1250+175-1001</f>
        <v>924</v>
      </c>
      <c r="D142" s="76">
        <f>300+200+174+176.9</f>
        <v>850.9</v>
      </c>
      <c r="E142" s="17">
        <f>D142/D107*100</f>
        <v>0.22216855201404703</v>
      </c>
      <c r="F142" s="99">
        <f t="shared" si="17"/>
        <v>97.56908611397776</v>
      </c>
      <c r="G142" s="6">
        <f t="shared" si="12"/>
        <v>92.08874458874459</v>
      </c>
      <c r="H142" s="61">
        <f t="shared" si="16"/>
        <v>21.199999999999932</v>
      </c>
      <c r="I142" s="61">
        <f t="shared" si="14"/>
        <v>73.10000000000002</v>
      </c>
    </row>
    <row r="143" spans="1:9" s="2" customFormat="1" ht="18" hidden="1">
      <c r="A143" s="18" t="s">
        <v>96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10" s="2" customFormat="1" ht="18">
      <c r="A144" s="18" t="s">
        <v>101</v>
      </c>
      <c r="B144" s="73">
        <f>44928.9+399.1-2053.4</f>
        <v>43274.6</v>
      </c>
      <c r="C144" s="53">
        <f>67967+150-2500-1878-220-5896.7+475+3501.1</f>
        <v>61598.4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+125.7+123.1+93.4+409.7+2609.8+3+32.4-206.3+452.9+1526.7+153.6+187.5</f>
        <v>34477.799999999996</v>
      </c>
      <c r="E144" s="17">
        <f>D144/D107*100</f>
        <v>9.002095313938078</v>
      </c>
      <c r="F144" s="99">
        <f t="shared" si="17"/>
        <v>79.67214023930896</v>
      </c>
      <c r="G144" s="6">
        <f t="shared" si="12"/>
        <v>55.971908361256126</v>
      </c>
      <c r="H144" s="61">
        <f t="shared" si="16"/>
        <v>8796.800000000003</v>
      </c>
      <c r="I144" s="61">
        <f t="shared" si="14"/>
        <v>27120.600000000006</v>
      </c>
      <c r="J144" s="131"/>
    </row>
    <row r="145" spans="1:9" s="2" customFormat="1" ht="18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11" s="2" customFormat="1" ht="18">
      <c r="A146" s="16" t="s">
        <v>102</v>
      </c>
      <c r="B146" s="73">
        <v>182.1</v>
      </c>
      <c r="C146" s="53">
        <v>234</v>
      </c>
      <c r="D146" s="76">
        <f>19.2+57.2+56</f>
        <v>132.4</v>
      </c>
      <c r="E146" s="17">
        <f>D146/D107*100</f>
        <v>0.03456941624945332</v>
      </c>
      <c r="F146" s="99">
        <f t="shared" si="17"/>
        <v>72.7073036792971</v>
      </c>
      <c r="G146" s="6">
        <f t="shared" si="12"/>
        <v>56.58119658119658</v>
      </c>
      <c r="H146" s="61">
        <f t="shared" si="16"/>
        <v>49.69999999999999</v>
      </c>
      <c r="I146" s="61">
        <f t="shared" si="14"/>
        <v>101.6</v>
      </c>
      <c r="K146" s="129">
        <f>D136+D129</f>
        <v>221.8</v>
      </c>
    </row>
    <row r="147" spans="1:12" s="2" customFormat="1" ht="18.75" customHeight="1">
      <c r="A147" s="16" t="s">
        <v>78</v>
      </c>
      <c r="B147" s="73">
        <v>9142.1</v>
      </c>
      <c r="C147" s="53">
        <v>10550.8</v>
      </c>
      <c r="D147" s="76">
        <f>1601.8+39.7+92.5+565.2+121.3+853.6+638.8+424+800.9+24.5+1.5+318.7+33.7+748.2+470.6+626.9+12.3+30.7-0.1+883.3+49.6+651.7+21.2</f>
        <v>9010.6</v>
      </c>
      <c r="E147" s="17">
        <f>D147/D107*100</f>
        <v>2.3526524324571305</v>
      </c>
      <c r="F147" s="99">
        <f t="shared" si="17"/>
        <v>98.56159963246957</v>
      </c>
      <c r="G147" s="6">
        <f t="shared" si="12"/>
        <v>85.40205482048756</v>
      </c>
      <c r="H147" s="61">
        <f t="shared" si="16"/>
        <v>131.5</v>
      </c>
      <c r="I147" s="61">
        <f t="shared" si="14"/>
        <v>1540.199999999999</v>
      </c>
      <c r="K147" s="38"/>
      <c r="L147" s="38"/>
    </row>
    <row r="148" spans="1:12" s="2" customFormat="1" ht="19.5" customHeight="1">
      <c r="A148" s="16" t="s">
        <v>51</v>
      </c>
      <c r="B148" s="73">
        <f>285791.2+1734.2+404.3+2053.4</f>
        <v>289983.10000000003</v>
      </c>
      <c r="C148" s="53">
        <f>376354.8-1000+14285.9-198-200-300-15786.4-2950-2519.8+7938.3-13756.7+0.7+204.9-2656</f>
        <v>359417.7</v>
      </c>
      <c r="D148" s="76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+1191.2+1363.7+1934+6288.3+1861.2+2038.1+69.6+2351.7+1815.8+1186.3+2291.2+574.5-204.9+450.3+17.9+401.5+897.7+5.1+197.4+617.7+2447.4+914+459+3280.8+2697.1+3354.1+922.4+1022.2+500.7+333.8+1385.8+1703.5+4841.4+1532.3</f>
        <v>274106.60000000003</v>
      </c>
      <c r="E148" s="17">
        <f>D148/D107*100</f>
        <v>71.56877003113597</v>
      </c>
      <c r="F148" s="6">
        <f t="shared" si="17"/>
        <v>94.52502576874308</v>
      </c>
      <c r="G148" s="6">
        <f t="shared" si="12"/>
        <v>76.26407937060418</v>
      </c>
      <c r="H148" s="61">
        <f t="shared" si="16"/>
        <v>15876.5</v>
      </c>
      <c r="I148" s="61">
        <f t="shared" si="14"/>
        <v>85311.09999999998</v>
      </c>
      <c r="K148" s="91"/>
      <c r="L148" s="38"/>
    </row>
    <row r="149" spans="1:12" s="2" customFormat="1" ht="18">
      <c r="A149" s="16" t="s">
        <v>103</v>
      </c>
      <c r="B149" s="73">
        <v>24571</v>
      </c>
      <c r="C149" s="53">
        <v>29485.2</v>
      </c>
      <c r="D149" s="76">
        <f>819+819+819.1+819+819+819.1+819+819+819.1+819+819+819.1+819.1+819+819+819+819.1+819+819+819+819.1+819+819+819.1+819+819+819.1+819+819</f>
        <v>23751.899999999998</v>
      </c>
      <c r="E149" s="17">
        <f>D149/D107*100</f>
        <v>6.201580950267298</v>
      </c>
      <c r="F149" s="6">
        <f t="shared" si="15"/>
        <v>96.66639534410483</v>
      </c>
      <c r="G149" s="6">
        <f t="shared" si="12"/>
        <v>80.55532945342068</v>
      </c>
      <c r="H149" s="61">
        <f t="shared" si="16"/>
        <v>819.1000000000022</v>
      </c>
      <c r="I149" s="61">
        <f t="shared" si="14"/>
        <v>5733.300000000003</v>
      </c>
      <c r="K149" s="38"/>
      <c r="L149" s="38"/>
    </row>
    <row r="150" spans="1:12" s="2" customFormat="1" ht="18.75" thickBot="1">
      <c r="A150" s="34" t="s">
        <v>30</v>
      </c>
      <c r="B150" s="77">
        <f>B43+B69+B72+B77+B79+B87+B102+B107+B100+B84+B98</f>
        <v>426889.70000000007</v>
      </c>
      <c r="C150" s="77">
        <f>C43+C69+C72+C77+C79+C87+C102+C107+C100+C84+C98</f>
        <v>534331.1</v>
      </c>
      <c r="D150" s="53">
        <f>D43+D69+D72+D77+D79+D87+D102+D107+D100+D84+D98</f>
        <v>391965.20000000007</v>
      </c>
      <c r="E150" s="17"/>
      <c r="F150" s="17"/>
      <c r="G150" s="6"/>
      <c r="H150" s="61"/>
      <c r="I150" s="53"/>
      <c r="K150" s="38"/>
      <c r="L150" s="38"/>
    </row>
    <row r="151" spans="1:12" ht="18.75" thickBot="1">
      <c r="A151" s="13" t="s">
        <v>18</v>
      </c>
      <c r="B151" s="47">
        <f>B6+B18+B33+B43+B51+B59+B69+B72+B77+B79+B87+B90+B95+B102+B107+B100+B84+B98+B45</f>
        <v>1545641.2000000004</v>
      </c>
      <c r="C151" s="47">
        <f>C6+C18+C33+C43+C51+C59+C69+C72+C77+C79+C87+C90+C95+C102+C107+C100+C84+C98+C45</f>
        <v>1878901.0999999996</v>
      </c>
      <c r="D151" s="47">
        <f>D6+D18+D33+D43+D51+D59+D69+D72+D77+D79+D87+D90+D95+D102+D107+D100+D84+D98+D45</f>
        <v>1395990.8</v>
      </c>
      <c r="E151" s="31">
        <v>100</v>
      </c>
      <c r="F151" s="3">
        <f>D151/B151*100</f>
        <v>90.31790819240582</v>
      </c>
      <c r="G151" s="3">
        <f aca="true" t="shared" si="18" ref="G151:G157">D151/C151*100</f>
        <v>74.29825870025837</v>
      </c>
      <c r="H151" s="47">
        <f aca="true" t="shared" si="19" ref="H151:H157">B151-D151</f>
        <v>149650.40000000037</v>
      </c>
      <c r="I151" s="47">
        <f aca="true" t="shared" si="20" ref="I151:I157">C151-D151</f>
        <v>482910.2999999996</v>
      </c>
      <c r="K151" s="39"/>
      <c r="L151" s="40"/>
    </row>
    <row r="152" spans="1:12" ht="18">
      <c r="A152" s="18" t="s">
        <v>5</v>
      </c>
      <c r="B152" s="60">
        <f>B8+B20+B34+B52+B60+B91+B115+B119+B46+B140+B131+B103</f>
        <v>614073.7999999999</v>
      </c>
      <c r="C152" s="60">
        <f>C8+C20+C34+C52+C60+C91+C115+C119+C46+C140+C131+C103</f>
        <v>735951.9999999999</v>
      </c>
      <c r="D152" s="60">
        <f>D8+D20+D34+D52+D60+D91+D115+D119+D46+D140+D131+D103</f>
        <v>547084.7999999998</v>
      </c>
      <c r="E152" s="6">
        <f>D152/D151*100</f>
        <v>39.18971385771309</v>
      </c>
      <c r="F152" s="6">
        <f aca="true" t="shared" si="21" ref="F152:F157">D152/B152*100</f>
        <v>89.09105061964863</v>
      </c>
      <c r="G152" s="6">
        <f t="shared" si="18"/>
        <v>74.33702197969431</v>
      </c>
      <c r="H152" s="61">
        <f t="shared" si="19"/>
        <v>66989.00000000012</v>
      </c>
      <c r="I152" s="72">
        <f t="shared" si="20"/>
        <v>188867.20000000007</v>
      </c>
      <c r="K152" s="39"/>
      <c r="L152" s="40"/>
    </row>
    <row r="153" spans="1:12" ht="18">
      <c r="A153" s="18" t="s">
        <v>0</v>
      </c>
      <c r="B153" s="61">
        <f>B11+B23+B36+B55+B62+B92+B49+B141+B109+B112+B96+B138</f>
        <v>71207.5</v>
      </c>
      <c r="C153" s="61">
        <f>C11+C23+C36+C55+C62+C92+C49+C141+C109+C112+C96+C138</f>
        <v>98487.8</v>
      </c>
      <c r="D153" s="61">
        <f>D11+D23+D36+D55+D62+D92+D49+D141+D109+D112+D96+D138</f>
        <v>61248.09999999999</v>
      </c>
      <c r="E153" s="6">
        <f>D153/D151*100</f>
        <v>4.387428627753134</v>
      </c>
      <c r="F153" s="6">
        <f t="shared" si="21"/>
        <v>86.01355194326439</v>
      </c>
      <c r="G153" s="6">
        <f t="shared" si="18"/>
        <v>62.18851471958963</v>
      </c>
      <c r="H153" s="61">
        <f t="shared" si="19"/>
        <v>9959.400000000009</v>
      </c>
      <c r="I153" s="72">
        <f t="shared" si="20"/>
        <v>37239.70000000001</v>
      </c>
      <c r="K153" s="39"/>
      <c r="L153" s="90"/>
    </row>
    <row r="154" spans="1:12" ht="18">
      <c r="A154" s="18" t="s">
        <v>1</v>
      </c>
      <c r="B154" s="60">
        <f>B22+B10+B54+B48+B61+B35+B123</f>
        <v>28585.9</v>
      </c>
      <c r="C154" s="60">
        <f>C22+C10+C54+C48+C61+C35+C123</f>
        <v>31719.100000000002</v>
      </c>
      <c r="D154" s="60">
        <f>D22+D10+D54+D48+D61+D35+D123</f>
        <v>24995.6</v>
      </c>
      <c r="E154" s="6">
        <f>D154/D151*100</f>
        <v>1.7905275593506778</v>
      </c>
      <c r="F154" s="6">
        <f t="shared" si="21"/>
        <v>87.44031148223424</v>
      </c>
      <c r="G154" s="6">
        <f t="shared" si="18"/>
        <v>78.80299251870323</v>
      </c>
      <c r="H154" s="61">
        <f t="shared" si="19"/>
        <v>3590.300000000003</v>
      </c>
      <c r="I154" s="72">
        <f t="shared" si="20"/>
        <v>6723.500000000004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19894.299999999992</v>
      </c>
      <c r="C155" s="60">
        <f>C12+C24+C104+C63+C38+C93+C129+C56+C136</f>
        <v>24304.6</v>
      </c>
      <c r="D155" s="60">
        <f>D12+D24+D104+D63+D38+D93+D129+D56+D136</f>
        <v>17548.799999999996</v>
      </c>
      <c r="E155" s="6">
        <f>D155/D151*100</f>
        <v>1.2570856484154478</v>
      </c>
      <c r="F155" s="6">
        <f t="shared" si="21"/>
        <v>88.21019085868818</v>
      </c>
      <c r="G155" s="6">
        <f t="shared" si="18"/>
        <v>72.20361577643737</v>
      </c>
      <c r="H155" s="61">
        <f>B155-D155</f>
        <v>2345.4999999999964</v>
      </c>
      <c r="I155" s="72">
        <f t="shared" si="20"/>
        <v>6755.800000000003</v>
      </c>
      <c r="K155" s="39"/>
      <c r="L155" s="90"/>
    </row>
    <row r="156" spans="1:12" ht="18">
      <c r="A156" s="18" t="s">
        <v>2</v>
      </c>
      <c r="B156" s="60">
        <f>B9+B21+B47+B53+B122</f>
        <v>96.89999999999999</v>
      </c>
      <c r="C156" s="60">
        <f>C9+C21+C47+C53+C122</f>
        <v>105.7</v>
      </c>
      <c r="D156" s="60">
        <f>D9+D21+D47+D53+D122</f>
        <v>51.3</v>
      </c>
      <c r="E156" s="6">
        <f>D156/D151*100</f>
        <v>0.003674809318227598</v>
      </c>
      <c r="F156" s="6">
        <f t="shared" si="21"/>
        <v>52.94117647058824</v>
      </c>
      <c r="G156" s="6">
        <f t="shared" si="18"/>
        <v>48.533585619678334</v>
      </c>
      <c r="H156" s="61">
        <f t="shared" si="19"/>
        <v>45.599999999999994</v>
      </c>
      <c r="I156" s="72">
        <f t="shared" si="20"/>
        <v>54.400000000000006</v>
      </c>
      <c r="K156" s="39"/>
      <c r="L156" s="40"/>
    </row>
    <row r="157" spans="1:12" ht="18.75" thickBot="1">
      <c r="A157" s="125" t="s">
        <v>28</v>
      </c>
      <c r="B157" s="78">
        <f>B151-B152-B153-B154-B155-B156</f>
        <v>811782.8000000004</v>
      </c>
      <c r="C157" s="78">
        <f>C151-C152-C153-C154-C155-C156</f>
        <v>988331.8999999997</v>
      </c>
      <c r="D157" s="78">
        <f>D151-D152-D153-D154-D155-D156</f>
        <v>745062.2000000002</v>
      </c>
      <c r="E157" s="36">
        <f>D157/D151*100</f>
        <v>53.37156949744942</v>
      </c>
      <c r="F157" s="36">
        <f t="shared" si="21"/>
        <v>91.7809788529641</v>
      </c>
      <c r="G157" s="36">
        <f t="shared" si="18"/>
        <v>75.38582939597522</v>
      </c>
      <c r="H157" s="126">
        <f t="shared" si="19"/>
        <v>66720.60000000021</v>
      </c>
      <c r="I157" s="126">
        <f t="shared" si="20"/>
        <v>243269.6999999995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2:8" ht="12.75">
      <c r="B164" s="130"/>
      <c r="C164" s="130"/>
      <c r="D164" s="130"/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1878901.0999999996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1395990.8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1878901.0999999996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1395990.8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2017-10-20T09:45:59Z</cp:lastPrinted>
  <dcterms:created xsi:type="dcterms:W3CDTF">2000-06-20T04:48:00Z</dcterms:created>
  <dcterms:modified xsi:type="dcterms:W3CDTF">2017-10-27T12:57:22Z</dcterms:modified>
  <cp:category/>
  <cp:version/>
  <cp:contentType/>
  <cp:contentStatus/>
</cp:coreProperties>
</file>